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C:\Users\locki\Documents\LARA5\Shared Files\"/>
    </mc:Choice>
  </mc:AlternateContent>
  <xr:revisionPtr revIDLastSave="0" documentId="13_ncr:1_{261F86E1-FDA1-4040-BB13-5D32E127F8EC}" xr6:coauthVersionLast="47" xr6:coauthVersionMax="47" xr10:uidLastSave="{00000000-0000-0000-0000-000000000000}"/>
  <bookViews>
    <workbookView xWindow="35145" yWindow="1575" windowWidth="21600" windowHeight="11835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32" i="1" l="1"/>
  <c r="J232" i="1"/>
  <c r="I232" i="1"/>
  <c r="H232" i="1"/>
  <c r="G232" i="1"/>
  <c r="F232" i="1"/>
  <c r="E232" i="1"/>
  <c r="D232" i="1"/>
  <c r="C232" i="1"/>
  <c r="K231" i="1"/>
  <c r="J231" i="1"/>
  <c r="I231" i="1"/>
  <c r="H231" i="1"/>
  <c r="G231" i="1"/>
  <c r="F231" i="1"/>
  <c r="E231" i="1"/>
  <c r="D231" i="1"/>
  <c r="C231" i="1"/>
  <c r="K230" i="1"/>
  <c r="J230" i="1"/>
  <c r="I230" i="1"/>
  <c r="H230" i="1"/>
  <c r="G230" i="1"/>
  <c r="F230" i="1"/>
  <c r="E230" i="1"/>
  <c r="D230" i="1"/>
  <c r="C230" i="1"/>
  <c r="K229" i="1"/>
  <c r="J229" i="1"/>
  <c r="I229" i="1"/>
  <c r="H229" i="1"/>
  <c r="G229" i="1"/>
  <c r="F229" i="1"/>
  <c r="E229" i="1"/>
  <c r="D229" i="1"/>
  <c r="C229" i="1"/>
  <c r="K228" i="1"/>
  <c r="J228" i="1"/>
  <c r="I228" i="1"/>
  <c r="H228" i="1"/>
  <c r="G228" i="1"/>
  <c r="F228" i="1"/>
  <c r="E228" i="1"/>
  <c r="D228" i="1"/>
  <c r="C228" i="1"/>
  <c r="K227" i="1"/>
  <c r="J227" i="1"/>
  <c r="I227" i="1"/>
  <c r="H227" i="1"/>
  <c r="G227" i="1"/>
  <c r="F227" i="1"/>
  <c r="E227" i="1"/>
  <c r="D227" i="1"/>
  <c r="C227" i="1"/>
  <c r="K226" i="1"/>
  <c r="J226" i="1"/>
  <c r="I226" i="1"/>
  <c r="H226" i="1"/>
  <c r="G226" i="1"/>
  <c r="F226" i="1"/>
  <c r="E226" i="1"/>
  <c r="D226" i="1"/>
  <c r="C226" i="1"/>
  <c r="K225" i="1"/>
  <c r="J225" i="1"/>
  <c r="I225" i="1"/>
  <c r="H225" i="1"/>
  <c r="G225" i="1"/>
  <c r="F225" i="1"/>
  <c r="E225" i="1"/>
  <c r="D225" i="1"/>
  <c r="C225" i="1"/>
  <c r="K224" i="1"/>
  <c r="J224" i="1"/>
  <c r="I224" i="1"/>
  <c r="H224" i="1"/>
  <c r="G224" i="1"/>
  <c r="F224" i="1"/>
  <c r="E224" i="1"/>
  <c r="D224" i="1"/>
  <c r="C224" i="1"/>
  <c r="K223" i="1"/>
  <c r="J223" i="1"/>
  <c r="I223" i="1"/>
  <c r="H223" i="1"/>
  <c r="G223" i="1"/>
  <c r="F223" i="1"/>
  <c r="E223" i="1"/>
  <c r="D223" i="1"/>
  <c r="C223" i="1"/>
  <c r="K222" i="1"/>
  <c r="J222" i="1"/>
  <c r="I222" i="1"/>
  <c r="H222" i="1"/>
  <c r="G222" i="1"/>
  <c r="F222" i="1"/>
  <c r="E222" i="1"/>
  <c r="D222" i="1"/>
  <c r="C222" i="1"/>
  <c r="B222" i="1"/>
  <c r="K221" i="1"/>
  <c r="J221" i="1"/>
  <c r="I221" i="1"/>
  <c r="H221" i="1"/>
  <c r="G221" i="1"/>
  <c r="F221" i="1"/>
  <c r="E221" i="1"/>
  <c r="D221" i="1"/>
  <c r="C221" i="1"/>
  <c r="B221" i="1"/>
  <c r="K220" i="1"/>
  <c r="J220" i="1"/>
  <c r="I220" i="1"/>
  <c r="H220" i="1"/>
  <c r="G220" i="1"/>
  <c r="F220" i="1"/>
  <c r="E220" i="1"/>
  <c r="D220" i="1"/>
  <c r="C220" i="1"/>
  <c r="B220" i="1"/>
  <c r="K219" i="1"/>
  <c r="J219" i="1"/>
  <c r="I219" i="1"/>
  <c r="H219" i="1"/>
  <c r="G219" i="1"/>
  <c r="F219" i="1"/>
  <c r="E219" i="1"/>
  <c r="D219" i="1"/>
  <c r="C219" i="1"/>
  <c r="B219" i="1"/>
  <c r="K218" i="1"/>
  <c r="J218" i="1"/>
  <c r="I218" i="1"/>
  <c r="H218" i="1"/>
  <c r="G218" i="1"/>
  <c r="F218" i="1"/>
  <c r="E218" i="1"/>
  <c r="D218" i="1"/>
  <c r="C218" i="1"/>
  <c r="B218" i="1"/>
  <c r="K217" i="1"/>
  <c r="J217" i="1"/>
  <c r="I217" i="1"/>
  <c r="H217" i="1"/>
  <c r="G217" i="1"/>
  <c r="F217" i="1"/>
  <c r="E217" i="1"/>
  <c r="D217" i="1"/>
  <c r="C217" i="1"/>
  <c r="B217" i="1"/>
  <c r="K216" i="1"/>
  <c r="J216" i="1"/>
  <c r="I216" i="1"/>
  <c r="H216" i="1"/>
  <c r="G216" i="1"/>
  <c r="F216" i="1"/>
  <c r="E216" i="1"/>
  <c r="D216" i="1"/>
  <c r="C216" i="1"/>
  <c r="B216" i="1"/>
  <c r="K215" i="1"/>
  <c r="J215" i="1"/>
  <c r="I215" i="1"/>
  <c r="H215" i="1"/>
  <c r="G215" i="1"/>
  <c r="F215" i="1"/>
  <c r="E215" i="1"/>
  <c r="D215" i="1"/>
  <c r="C215" i="1"/>
  <c r="B215" i="1"/>
  <c r="K214" i="1"/>
  <c r="J214" i="1"/>
  <c r="I214" i="1"/>
  <c r="H214" i="1"/>
  <c r="G214" i="1"/>
  <c r="F214" i="1"/>
  <c r="E214" i="1"/>
  <c r="D214" i="1"/>
  <c r="C214" i="1"/>
  <c r="B214" i="1"/>
  <c r="K213" i="1"/>
  <c r="J213" i="1"/>
  <c r="I213" i="1"/>
  <c r="H213" i="1"/>
  <c r="G213" i="1"/>
  <c r="F213" i="1"/>
  <c r="E213" i="1"/>
  <c r="D213" i="1"/>
  <c r="C213" i="1"/>
  <c r="B213" i="1"/>
  <c r="K212" i="1"/>
  <c r="J212" i="1"/>
  <c r="I212" i="1"/>
  <c r="H212" i="1"/>
  <c r="G212" i="1"/>
  <c r="F212" i="1"/>
  <c r="E212" i="1"/>
  <c r="D212" i="1"/>
  <c r="C212" i="1"/>
  <c r="B212" i="1"/>
  <c r="K211" i="1"/>
  <c r="J211" i="1"/>
  <c r="I211" i="1"/>
  <c r="H211" i="1"/>
  <c r="G211" i="1"/>
  <c r="F211" i="1"/>
  <c r="E211" i="1"/>
  <c r="D211" i="1"/>
  <c r="C211" i="1"/>
  <c r="B211" i="1"/>
  <c r="K210" i="1"/>
  <c r="J210" i="1"/>
  <c r="I210" i="1"/>
  <c r="H210" i="1"/>
  <c r="G210" i="1"/>
  <c r="F210" i="1"/>
  <c r="E210" i="1"/>
  <c r="D210" i="1"/>
  <c r="C210" i="1"/>
  <c r="B210" i="1"/>
  <c r="K209" i="1"/>
  <c r="J209" i="1"/>
  <c r="I209" i="1"/>
  <c r="H209" i="1"/>
  <c r="G209" i="1"/>
  <c r="F209" i="1"/>
  <c r="E209" i="1"/>
  <c r="D209" i="1"/>
  <c r="C209" i="1"/>
  <c r="B209" i="1"/>
  <c r="K208" i="1"/>
  <c r="J208" i="1"/>
  <c r="I208" i="1"/>
  <c r="H208" i="1"/>
  <c r="G208" i="1"/>
  <c r="F208" i="1"/>
  <c r="E208" i="1"/>
  <c r="D208" i="1"/>
  <c r="C208" i="1"/>
  <c r="B208" i="1"/>
  <c r="K207" i="1"/>
  <c r="J207" i="1"/>
  <c r="I207" i="1"/>
  <c r="H207" i="1"/>
  <c r="G207" i="1"/>
  <c r="F207" i="1"/>
  <c r="E207" i="1"/>
  <c r="D207" i="1"/>
  <c r="C207" i="1"/>
  <c r="B207" i="1"/>
  <c r="K206" i="1"/>
  <c r="J206" i="1"/>
  <c r="I206" i="1"/>
  <c r="H206" i="1"/>
  <c r="G206" i="1"/>
  <c r="F206" i="1"/>
  <c r="E206" i="1"/>
  <c r="D206" i="1"/>
  <c r="C206" i="1"/>
  <c r="B206" i="1"/>
  <c r="K205" i="1"/>
  <c r="J205" i="1"/>
  <c r="I205" i="1"/>
  <c r="H205" i="1"/>
  <c r="G205" i="1"/>
  <c r="F205" i="1"/>
  <c r="E205" i="1"/>
  <c r="D205" i="1"/>
  <c r="C205" i="1"/>
  <c r="B205" i="1"/>
  <c r="K204" i="1"/>
  <c r="J204" i="1"/>
  <c r="I204" i="1"/>
  <c r="H204" i="1"/>
  <c r="G204" i="1"/>
  <c r="F204" i="1"/>
  <c r="E204" i="1"/>
  <c r="D204" i="1"/>
  <c r="C204" i="1"/>
  <c r="B204" i="1"/>
  <c r="K203" i="1"/>
  <c r="J203" i="1"/>
  <c r="I203" i="1"/>
  <c r="H203" i="1"/>
  <c r="G203" i="1"/>
  <c r="F203" i="1"/>
  <c r="E203" i="1"/>
  <c r="D203" i="1"/>
  <c r="C203" i="1"/>
  <c r="B203" i="1"/>
  <c r="K202" i="1"/>
  <c r="J202" i="1"/>
  <c r="I202" i="1"/>
  <c r="H202" i="1"/>
  <c r="G202" i="1"/>
  <c r="F202" i="1"/>
  <c r="E202" i="1"/>
  <c r="D202" i="1"/>
  <c r="C202" i="1"/>
  <c r="B202" i="1"/>
  <c r="K201" i="1"/>
  <c r="J201" i="1"/>
  <c r="I201" i="1"/>
  <c r="H201" i="1"/>
  <c r="G201" i="1"/>
  <c r="F201" i="1"/>
  <c r="E201" i="1"/>
  <c r="D201" i="1"/>
  <c r="C201" i="1"/>
  <c r="B201" i="1"/>
  <c r="K200" i="1"/>
  <c r="J200" i="1"/>
  <c r="I200" i="1"/>
  <c r="H200" i="1"/>
  <c r="G200" i="1"/>
  <c r="F200" i="1"/>
  <c r="E200" i="1"/>
  <c r="D200" i="1"/>
  <c r="C200" i="1"/>
  <c r="B200" i="1"/>
  <c r="K199" i="1"/>
  <c r="J199" i="1"/>
  <c r="I199" i="1"/>
  <c r="H199" i="1"/>
  <c r="G199" i="1"/>
  <c r="F199" i="1"/>
  <c r="E199" i="1"/>
  <c r="D199" i="1"/>
  <c r="C199" i="1"/>
  <c r="B199" i="1"/>
  <c r="K198" i="1"/>
  <c r="J198" i="1"/>
  <c r="I198" i="1"/>
  <c r="H198" i="1"/>
  <c r="G198" i="1"/>
  <c r="F198" i="1"/>
  <c r="E198" i="1"/>
  <c r="D198" i="1"/>
  <c r="C198" i="1"/>
  <c r="B198" i="1"/>
  <c r="K197" i="1"/>
  <c r="J197" i="1"/>
  <c r="I197" i="1"/>
  <c r="H197" i="1"/>
  <c r="G197" i="1"/>
  <c r="F197" i="1"/>
  <c r="E197" i="1"/>
  <c r="D197" i="1"/>
  <c r="C197" i="1"/>
  <c r="B197" i="1"/>
  <c r="K196" i="1"/>
  <c r="J196" i="1"/>
  <c r="I196" i="1"/>
  <c r="H196" i="1"/>
  <c r="G196" i="1"/>
  <c r="F196" i="1"/>
  <c r="E196" i="1"/>
  <c r="D196" i="1"/>
  <c r="C196" i="1"/>
  <c r="B196" i="1"/>
  <c r="K195" i="1"/>
  <c r="J195" i="1"/>
  <c r="I195" i="1"/>
  <c r="H195" i="1"/>
  <c r="G195" i="1"/>
  <c r="F195" i="1"/>
  <c r="E195" i="1"/>
  <c r="D195" i="1"/>
  <c r="C195" i="1"/>
  <c r="B195" i="1"/>
  <c r="K194" i="1"/>
  <c r="J194" i="1"/>
  <c r="I194" i="1"/>
  <c r="H194" i="1"/>
  <c r="G194" i="1"/>
  <c r="F194" i="1"/>
  <c r="E194" i="1"/>
  <c r="D194" i="1"/>
  <c r="C194" i="1"/>
  <c r="B194" i="1"/>
  <c r="K193" i="1"/>
  <c r="J193" i="1"/>
  <c r="I193" i="1"/>
  <c r="H193" i="1"/>
  <c r="G193" i="1"/>
  <c r="F193" i="1"/>
  <c r="E193" i="1"/>
  <c r="D193" i="1"/>
  <c r="C193" i="1"/>
  <c r="B193" i="1"/>
  <c r="K192" i="1"/>
  <c r="J192" i="1"/>
  <c r="I192" i="1"/>
  <c r="H192" i="1"/>
  <c r="G192" i="1"/>
  <c r="F192" i="1"/>
  <c r="E192" i="1"/>
  <c r="D192" i="1"/>
  <c r="C192" i="1"/>
  <c r="B192" i="1"/>
  <c r="K191" i="1"/>
  <c r="J191" i="1"/>
  <c r="I191" i="1"/>
  <c r="H191" i="1"/>
  <c r="G191" i="1"/>
  <c r="F191" i="1"/>
  <c r="E191" i="1"/>
  <c r="D191" i="1"/>
  <c r="C191" i="1"/>
  <c r="B191" i="1"/>
  <c r="K190" i="1"/>
  <c r="J190" i="1"/>
  <c r="I190" i="1"/>
  <c r="H190" i="1"/>
  <c r="G190" i="1"/>
  <c r="F190" i="1"/>
  <c r="E190" i="1"/>
  <c r="D190" i="1"/>
  <c r="C190" i="1"/>
  <c r="B190" i="1"/>
  <c r="K189" i="1"/>
  <c r="J189" i="1"/>
  <c r="I189" i="1"/>
  <c r="H189" i="1"/>
  <c r="G189" i="1"/>
  <c r="F189" i="1"/>
  <c r="E189" i="1"/>
  <c r="D189" i="1"/>
  <c r="C189" i="1"/>
  <c r="B189" i="1"/>
  <c r="K188" i="1"/>
  <c r="J188" i="1"/>
  <c r="I188" i="1"/>
  <c r="H188" i="1"/>
  <c r="G188" i="1"/>
  <c r="F188" i="1"/>
  <c r="E188" i="1"/>
  <c r="D188" i="1"/>
  <c r="C188" i="1"/>
  <c r="B188" i="1"/>
  <c r="K187" i="1"/>
  <c r="J187" i="1"/>
  <c r="I187" i="1"/>
  <c r="H187" i="1"/>
  <c r="G187" i="1"/>
  <c r="F187" i="1"/>
  <c r="E187" i="1"/>
  <c r="D187" i="1"/>
  <c r="C187" i="1"/>
  <c r="B187" i="1"/>
  <c r="K186" i="1"/>
  <c r="J186" i="1"/>
  <c r="I186" i="1"/>
  <c r="H186" i="1"/>
  <c r="G186" i="1"/>
  <c r="F186" i="1"/>
  <c r="E186" i="1"/>
  <c r="D186" i="1"/>
  <c r="C186" i="1"/>
  <c r="B186" i="1"/>
  <c r="K185" i="1"/>
  <c r="J185" i="1"/>
  <c r="I185" i="1"/>
  <c r="H185" i="1"/>
  <c r="G185" i="1"/>
  <c r="F185" i="1"/>
  <c r="E185" i="1"/>
  <c r="D185" i="1"/>
  <c r="C185" i="1"/>
  <c r="B185" i="1"/>
  <c r="K184" i="1"/>
  <c r="J184" i="1"/>
  <c r="I184" i="1"/>
  <c r="H184" i="1"/>
  <c r="G184" i="1"/>
  <c r="F184" i="1"/>
  <c r="E184" i="1"/>
  <c r="D184" i="1"/>
  <c r="C184" i="1"/>
  <c r="B184" i="1"/>
  <c r="K183" i="1"/>
  <c r="J183" i="1"/>
  <c r="I183" i="1"/>
  <c r="H183" i="1"/>
  <c r="G183" i="1"/>
  <c r="F183" i="1"/>
  <c r="E183" i="1"/>
  <c r="D183" i="1"/>
  <c r="C183" i="1"/>
  <c r="B183" i="1"/>
  <c r="K182" i="1"/>
  <c r="J182" i="1"/>
  <c r="I182" i="1"/>
  <c r="H182" i="1"/>
  <c r="G182" i="1"/>
  <c r="F182" i="1"/>
  <c r="E182" i="1"/>
  <c r="D182" i="1"/>
  <c r="C182" i="1"/>
  <c r="B182" i="1"/>
  <c r="K181" i="1"/>
  <c r="J181" i="1"/>
  <c r="I181" i="1"/>
  <c r="H181" i="1"/>
  <c r="G181" i="1"/>
  <c r="F181" i="1"/>
  <c r="E181" i="1"/>
  <c r="D181" i="1"/>
  <c r="C181" i="1"/>
  <c r="B181" i="1"/>
  <c r="K180" i="1"/>
  <c r="J180" i="1"/>
  <c r="I180" i="1"/>
  <c r="H180" i="1"/>
  <c r="G180" i="1"/>
  <c r="F180" i="1"/>
  <c r="E180" i="1"/>
  <c r="D180" i="1"/>
  <c r="C180" i="1"/>
  <c r="B180" i="1"/>
  <c r="K179" i="1"/>
  <c r="J179" i="1"/>
  <c r="I179" i="1"/>
  <c r="H179" i="1"/>
  <c r="G179" i="1"/>
  <c r="F179" i="1"/>
  <c r="E179" i="1"/>
  <c r="D179" i="1"/>
  <c r="C179" i="1"/>
  <c r="B179" i="1"/>
  <c r="K178" i="1"/>
  <c r="J178" i="1"/>
  <c r="I178" i="1"/>
  <c r="H178" i="1"/>
  <c r="G178" i="1"/>
  <c r="F178" i="1"/>
  <c r="E178" i="1"/>
  <c r="D178" i="1"/>
  <c r="C178" i="1"/>
  <c r="B178" i="1"/>
  <c r="K177" i="1"/>
  <c r="J177" i="1"/>
  <c r="I177" i="1"/>
  <c r="H177" i="1"/>
  <c r="G177" i="1"/>
  <c r="F177" i="1"/>
  <c r="E177" i="1"/>
  <c r="D177" i="1"/>
  <c r="C177" i="1"/>
  <c r="B177" i="1"/>
  <c r="K176" i="1"/>
  <c r="J176" i="1"/>
  <c r="I176" i="1"/>
  <c r="H176" i="1"/>
  <c r="G176" i="1"/>
  <c r="F176" i="1"/>
  <c r="E176" i="1"/>
  <c r="D176" i="1"/>
  <c r="C176" i="1"/>
  <c r="B176" i="1"/>
  <c r="K175" i="1"/>
  <c r="J175" i="1"/>
  <c r="I175" i="1"/>
  <c r="H175" i="1"/>
  <c r="G175" i="1"/>
  <c r="F175" i="1"/>
  <c r="E175" i="1"/>
  <c r="D175" i="1"/>
  <c r="C175" i="1"/>
  <c r="B175" i="1"/>
  <c r="K174" i="1"/>
  <c r="J174" i="1"/>
  <c r="I174" i="1"/>
  <c r="H174" i="1"/>
  <c r="G174" i="1"/>
  <c r="F174" i="1"/>
  <c r="E174" i="1"/>
  <c r="D174" i="1"/>
  <c r="C174" i="1"/>
  <c r="B174" i="1"/>
  <c r="K173" i="1"/>
  <c r="J173" i="1"/>
  <c r="I173" i="1"/>
  <c r="H173" i="1"/>
  <c r="G173" i="1"/>
  <c r="F173" i="1"/>
  <c r="E173" i="1"/>
  <c r="D173" i="1"/>
  <c r="C173" i="1"/>
  <c r="B173" i="1"/>
  <c r="K172" i="1"/>
  <c r="J172" i="1"/>
  <c r="I172" i="1"/>
  <c r="H172" i="1"/>
  <c r="G172" i="1"/>
  <c r="F172" i="1"/>
  <c r="E172" i="1"/>
  <c r="D172" i="1"/>
  <c r="C172" i="1"/>
  <c r="B172" i="1"/>
  <c r="K171" i="1"/>
  <c r="J171" i="1"/>
  <c r="I171" i="1"/>
  <c r="H171" i="1"/>
  <c r="G171" i="1"/>
  <c r="F171" i="1"/>
  <c r="E171" i="1"/>
  <c r="D171" i="1"/>
  <c r="C171" i="1"/>
  <c r="B171" i="1"/>
  <c r="K170" i="1"/>
  <c r="J170" i="1"/>
  <c r="I170" i="1"/>
  <c r="H170" i="1"/>
  <c r="G170" i="1"/>
  <c r="F170" i="1"/>
  <c r="E170" i="1"/>
  <c r="D170" i="1"/>
  <c r="C170" i="1"/>
  <c r="B170" i="1"/>
  <c r="K169" i="1"/>
  <c r="J169" i="1"/>
  <c r="I169" i="1"/>
  <c r="H169" i="1"/>
  <c r="G169" i="1"/>
  <c r="F169" i="1"/>
  <c r="E169" i="1"/>
  <c r="D169" i="1"/>
  <c r="C169" i="1"/>
  <c r="B169" i="1"/>
  <c r="K168" i="1"/>
  <c r="J168" i="1"/>
  <c r="I168" i="1"/>
  <c r="H168" i="1"/>
  <c r="G168" i="1"/>
  <c r="F168" i="1"/>
  <c r="E168" i="1"/>
  <c r="D168" i="1"/>
  <c r="C168" i="1"/>
  <c r="B168" i="1"/>
  <c r="K167" i="1"/>
  <c r="J167" i="1"/>
  <c r="I167" i="1"/>
  <c r="H167" i="1"/>
  <c r="G167" i="1"/>
  <c r="F167" i="1"/>
  <c r="E167" i="1"/>
  <c r="D167" i="1"/>
  <c r="C167" i="1"/>
  <c r="B167" i="1"/>
  <c r="K166" i="1"/>
  <c r="J166" i="1"/>
  <c r="I166" i="1"/>
  <c r="H166" i="1"/>
  <c r="G166" i="1"/>
  <c r="F166" i="1"/>
  <c r="E166" i="1"/>
  <c r="D166" i="1"/>
  <c r="C166" i="1"/>
  <c r="B166" i="1"/>
  <c r="K165" i="1"/>
  <c r="J165" i="1"/>
  <c r="I165" i="1"/>
  <c r="H165" i="1"/>
  <c r="G165" i="1"/>
  <c r="F165" i="1"/>
  <c r="E165" i="1"/>
  <c r="D165" i="1"/>
  <c r="C165" i="1"/>
  <c r="B165" i="1"/>
  <c r="K164" i="1"/>
  <c r="J164" i="1"/>
  <c r="I164" i="1"/>
  <c r="H164" i="1"/>
  <c r="G164" i="1"/>
  <c r="F164" i="1"/>
  <c r="E164" i="1"/>
  <c r="D164" i="1"/>
  <c r="C164" i="1"/>
  <c r="B164" i="1"/>
  <c r="K163" i="1"/>
  <c r="J163" i="1"/>
  <c r="I163" i="1"/>
  <c r="H163" i="1"/>
  <c r="G163" i="1"/>
  <c r="F163" i="1"/>
  <c r="E163" i="1"/>
  <c r="D163" i="1"/>
  <c r="C163" i="1"/>
  <c r="B163" i="1"/>
  <c r="K162" i="1"/>
  <c r="J162" i="1"/>
  <c r="I162" i="1"/>
  <c r="H162" i="1"/>
  <c r="G162" i="1"/>
  <c r="F162" i="1"/>
  <c r="E162" i="1"/>
  <c r="D162" i="1"/>
  <c r="C162" i="1"/>
  <c r="B162" i="1"/>
  <c r="K161" i="1"/>
  <c r="J161" i="1"/>
  <c r="I161" i="1"/>
  <c r="H161" i="1"/>
  <c r="G161" i="1"/>
  <c r="F161" i="1"/>
  <c r="E161" i="1"/>
  <c r="D161" i="1"/>
  <c r="C161" i="1"/>
  <c r="B161" i="1"/>
  <c r="K160" i="1"/>
  <c r="J160" i="1"/>
  <c r="I160" i="1"/>
  <c r="H160" i="1"/>
  <c r="G160" i="1"/>
  <c r="F160" i="1"/>
  <c r="E160" i="1"/>
  <c r="D160" i="1"/>
  <c r="C160" i="1"/>
  <c r="B160" i="1"/>
  <c r="K159" i="1"/>
  <c r="J159" i="1"/>
  <c r="I159" i="1"/>
  <c r="H159" i="1"/>
  <c r="G159" i="1"/>
  <c r="F159" i="1"/>
  <c r="E159" i="1"/>
  <c r="D159" i="1"/>
  <c r="C159" i="1"/>
  <c r="B159" i="1"/>
  <c r="K158" i="1"/>
  <c r="J158" i="1"/>
  <c r="I158" i="1"/>
  <c r="H158" i="1"/>
  <c r="G158" i="1"/>
  <c r="F158" i="1"/>
  <c r="E158" i="1"/>
  <c r="D158" i="1"/>
  <c r="C158" i="1"/>
  <c r="B158" i="1"/>
  <c r="K157" i="1"/>
  <c r="J157" i="1"/>
  <c r="I157" i="1"/>
  <c r="H157" i="1"/>
  <c r="G157" i="1"/>
  <c r="F157" i="1"/>
  <c r="E157" i="1"/>
  <c r="D157" i="1"/>
  <c r="C157" i="1"/>
  <c r="B157" i="1"/>
  <c r="K156" i="1"/>
  <c r="J156" i="1"/>
  <c r="I156" i="1"/>
  <c r="H156" i="1"/>
  <c r="G156" i="1"/>
  <c r="F156" i="1"/>
  <c r="E156" i="1"/>
  <c r="D156" i="1"/>
  <c r="C156" i="1"/>
  <c r="B156" i="1"/>
  <c r="K155" i="1"/>
  <c r="J155" i="1"/>
  <c r="I155" i="1"/>
  <c r="H155" i="1"/>
  <c r="G155" i="1"/>
  <c r="F155" i="1"/>
  <c r="E155" i="1"/>
  <c r="D155" i="1"/>
  <c r="C155" i="1"/>
  <c r="B155" i="1"/>
  <c r="K154" i="1"/>
  <c r="J154" i="1"/>
  <c r="I154" i="1"/>
  <c r="H154" i="1"/>
  <c r="G154" i="1"/>
  <c r="F154" i="1"/>
  <c r="E154" i="1"/>
  <c r="D154" i="1"/>
  <c r="C154" i="1"/>
  <c r="B154" i="1"/>
  <c r="K153" i="1"/>
  <c r="J153" i="1"/>
  <c r="I153" i="1"/>
  <c r="H153" i="1"/>
  <c r="G153" i="1"/>
  <c r="F153" i="1"/>
  <c r="E153" i="1"/>
  <c r="D153" i="1"/>
  <c r="C153" i="1"/>
  <c r="B153" i="1"/>
  <c r="K152" i="1"/>
  <c r="J152" i="1"/>
  <c r="I152" i="1"/>
  <c r="H152" i="1"/>
  <c r="G152" i="1"/>
  <c r="F152" i="1"/>
  <c r="E152" i="1"/>
  <c r="D152" i="1"/>
  <c r="C152" i="1"/>
  <c r="B152" i="1"/>
  <c r="K151" i="1"/>
  <c r="J151" i="1"/>
  <c r="I151" i="1"/>
  <c r="H151" i="1"/>
  <c r="G151" i="1"/>
  <c r="F151" i="1"/>
  <c r="E151" i="1"/>
  <c r="D151" i="1"/>
  <c r="C151" i="1"/>
  <c r="B151" i="1"/>
  <c r="K150" i="1"/>
  <c r="J150" i="1"/>
  <c r="I150" i="1"/>
  <c r="H150" i="1"/>
  <c r="G150" i="1"/>
  <c r="F150" i="1"/>
  <c r="E150" i="1"/>
  <c r="D150" i="1"/>
  <c r="C150" i="1"/>
  <c r="B150" i="1"/>
  <c r="K149" i="1"/>
  <c r="J149" i="1"/>
  <c r="I149" i="1"/>
  <c r="H149" i="1"/>
  <c r="G149" i="1"/>
  <c r="F149" i="1"/>
  <c r="E149" i="1"/>
  <c r="D149" i="1"/>
  <c r="C149" i="1"/>
  <c r="B149" i="1"/>
  <c r="K148" i="1"/>
  <c r="J148" i="1"/>
  <c r="I148" i="1"/>
  <c r="H148" i="1"/>
  <c r="G148" i="1"/>
  <c r="F148" i="1"/>
  <c r="E148" i="1"/>
  <c r="D148" i="1"/>
  <c r="C148" i="1"/>
  <c r="B148" i="1"/>
  <c r="K147" i="1"/>
  <c r="J147" i="1"/>
  <c r="I147" i="1"/>
  <c r="H147" i="1"/>
  <c r="G147" i="1"/>
  <c r="F147" i="1"/>
  <c r="E147" i="1"/>
  <c r="D147" i="1"/>
  <c r="C147" i="1"/>
  <c r="B147" i="1"/>
  <c r="K146" i="1"/>
  <c r="J146" i="1"/>
  <c r="I146" i="1"/>
  <c r="H146" i="1"/>
  <c r="G146" i="1"/>
  <c r="F146" i="1"/>
  <c r="E146" i="1"/>
  <c r="D146" i="1"/>
  <c r="C146" i="1"/>
  <c r="B146" i="1"/>
  <c r="K145" i="1"/>
  <c r="J145" i="1"/>
  <c r="I145" i="1"/>
  <c r="H145" i="1"/>
  <c r="G145" i="1"/>
  <c r="F145" i="1"/>
  <c r="E145" i="1"/>
  <c r="D145" i="1"/>
  <c r="C145" i="1"/>
  <c r="B145" i="1"/>
  <c r="K144" i="1"/>
  <c r="J144" i="1"/>
  <c r="I144" i="1"/>
  <c r="H144" i="1"/>
  <c r="G144" i="1"/>
  <c r="F144" i="1"/>
  <c r="E144" i="1"/>
  <c r="D144" i="1"/>
  <c r="C144" i="1"/>
  <c r="B144" i="1"/>
  <c r="K143" i="1"/>
  <c r="J143" i="1"/>
  <c r="I143" i="1"/>
  <c r="H143" i="1"/>
  <c r="G143" i="1"/>
  <c r="F143" i="1"/>
  <c r="E143" i="1"/>
  <c r="D143" i="1"/>
  <c r="C143" i="1"/>
  <c r="B143" i="1"/>
  <c r="K142" i="1"/>
  <c r="J142" i="1"/>
  <c r="I142" i="1"/>
  <c r="H142" i="1"/>
  <c r="G142" i="1"/>
  <c r="F142" i="1"/>
  <c r="E142" i="1"/>
  <c r="D142" i="1"/>
  <c r="C142" i="1"/>
  <c r="B142" i="1"/>
  <c r="K141" i="1"/>
  <c r="J141" i="1"/>
  <c r="I141" i="1"/>
  <c r="H141" i="1"/>
  <c r="G141" i="1"/>
  <c r="F141" i="1"/>
  <c r="E141" i="1"/>
  <c r="D141" i="1"/>
  <c r="C141" i="1"/>
  <c r="B141" i="1"/>
  <c r="K140" i="1"/>
  <c r="J140" i="1"/>
  <c r="I140" i="1"/>
  <c r="H140" i="1"/>
  <c r="G140" i="1"/>
  <c r="F140" i="1"/>
  <c r="E140" i="1"/>
  <c r="D140" i="1"/>
  <c r="C140" i="1"/>
  <c r="B140" i="1"/>
  <c r="K139" i="1"/>
  <c r="J139" i="1"/>
  <c r="I139" i="1"/>
  <c r="H139" i="1"/>
  <c r="G139" i="1"/>
  <c r="F139" i="1"/>
  <c r="E139" i="1"/>
  <c r="D139" i="1"/>
  <c r="C139" i="1"/>
  <c r="B139" i="1"/>
  <c r="K138" i="1"/>
  <c r="J138" i="1"/>
  <c r="I138" i="1"/>
  <c r="H138" i="1"/>
  <c r="G138" i="1"/>
  <c r="F138" i="1"/>
  <c r="E138" i="1"/>
  <c r="D138" i="1"/>
  <c r="C138" i="1"/>
  <c r="B138" i="1"/>
  <c r="K137" i="1"/>
  <c r="J137" i="1"/>
  <c r="I137" i="1"/>
  <c r="H137" i="1"/>
  <c r="G137" i="1"/>
  <c r="F137" i="1"/>
  <c r="E137" i="1"/>
  <c r="D137" i="1"/>
  <c r="C137" i="1"/>
  <c r="B137" i="1"/>
  <c r="K136" i="1"/>
  <c r="J136" i="1"/>
  <c r="I136" i="1"/>
  <c r="H136" i="1"/>
  <c r="G136" i="1"/>
  <c r="F136" i="1"/>
  <c r="E136" i="1"/>
  <c r="D136" i="1"/>
  <c r="C136" i="1"/>
  <c r="B136" i="1"/>
  <c r="K135" i="1"/>
  <c r="J135" i="1"/>
  <c r="I135" i="1"/>
  <c r="H135" i="1"/>
  <c r="G135" i="1"/>
  <c r="F135" i="1"/>
  <c r="E135" i="1"/>
  <c r="D135" i="1"/>
  <c r="C135" i="1"/>
  <c r="B135" i="1"/>
  <c r="K134" i="1"/>
  <c r="J134" i="1"/>
  <c r="I134" i="1"/>
  <c r="H134" i="1"/>
  <c r="G134" i="1"/>
  <c r="F134" i="1"/>
  <c r="E134" i="1"/>
  <c r="D134" i="1"/>
  <c r="C134" i="1"/>
  <c r="B134" i="1"/>
  <c r="K133" i="1"/>
  <c r="J133" i="1"/>
  <c r="I133" i="1"/>
  <c r="H133" i="1"/>
  <c r="G133" i="1"/>
  <c r="F133" i="1"/>
  <c r="E133" i="1"/>
  <c r="D133" i="1"/>
  <c r="C133" i="1"/>
  <c r="B133" i="1"/>
  <c r="K132" i="1"/>
  <c r="J132" i="1"/>
  <c r="I132" i="1"/>
  <c r="H132" i="1"/>
  <c r="G132" i="1"/>
  <c r="F132" i="1"/>
  <c r="E132" i="1"/>
  <c r="D132" i="1"/>
  <c r="C132" i="1"/>
  <c r="B132" i="1"/>
  <c r="K131" i="1"/>
  <c r="J131" i="1"/>
  <c r="I131" i="1"/>
  <c r="H131" i="1"/>
  <c r="G131" i="1"/>
  <c r="F131" i="1"/>
  <c r="E131" i="1"/>
  <c r="D131" i="1"/>
  <c r="C131" i="1"/>
  <c r="B131" i="1"/>
  <c r="K130" i="1"/>
  <c r="J130" i="1"/>
  <c r="I130" i="1"/>
  <c r="H130" i="1"/>
  <c r="G130" i="1"/>
  <c r="F130" i="1"/>
  <c r="E130" i="1"/>
  <c r="D130" i="1"/>
  <c r="C130" i="1"/>
  <c r="B130" i="1"/>
  <c r="K129" i="1"/>
  <c r="J129" i="1"/>
  <c r="I129" i="1"/>
  <c r="H129" i="1"/>
  <c r="G129" i="1"/>
  <c r="F129" i="1"/>
  <c r="E129" i="1"/>
  <c r="D129" i="1"/>
  <c r="C129" i="1"/>
  <c r="B129" i="1"/>
  <c r="K128" i="1"/>
  <c r="J128" i="1"/>
  <c r="I128" i="1"/>
  <c r="H128" i="1"/>
  <c r="G128" i="1"/>
  <c r="F128" i="1"/>
  <c r="E128" i="1"/>
  <c r="D128" i="1"/>
  <c r="C128" i="1"/>
  <c r="B128" i="1"/>
  <c r="K127" i="1"/>
  <c r="J127" i="1"/>
  <c r="I127" i="1"/>
  <c r="H127" i="1"/>
  <c r="G127" i="1"/>
  <c r="F127" i="1"/>
  <c r="E127" i="1"/>
  <c r="D127" i="1"/>
  <c r="C127" i="1"/>
  <c r="B127" i="1"/>
  <c r="K126" i="1"/>
  <c r="J126" i="1"/>
  <c r="I126" i="1"/>
  <c r="H126" i="1"/>
  <c r="G126" i="1"/>
  <c r="F126" i="1"/>
  <c r="E126" i="1"/>
  <c r="D126" i="1"/>
  <c r="C126" i="1"/>
  <c r="B126" i="1"/>
  <c r="K125" i="1"/>
  <c r="J125" i="1"/>
  <c r="I125" i="1"/>
  <c r="H125" i="1"/>
  <c r="G125" i="1"/>
  <c r="F125" i="1"/>
  <c r="E125" i="1"/>
  <c r="D125" i="1"/>
  <c r="C125" i="1"/>
  <c r="B125" i="1"/>
  <c r="K124" i="1"/>
  <c r="J124" i="1"/>
  <c r="I124" i="1"/>
  <c r="H124" i="1"/>
  <c r="G124" i="1"/>
  <c r="F124" i="1"/>
  <c r="E124" i="1"/>
  <c r="D124" i="1"/>
  <c r="C124" i="1"/>
  <c r="B124" i="1"/>
  <c r="K123" i="1"/>
  <c r="J123" i="1"/>
  <c r="I123" i="1"/>
  <c r="H123" i="1"/>
  <c r="G123" i="1"/>
  <c r="F123" i="1"/>
  <c r="E123" i="1"/>
  <c r="D123" i="1"/>
  <c r="C123" i="1"/>
  <c r="B123" i="1"/>
  <c r="K122" i="1"/>
  <c r="J122" i="1"/>
  <c r="I122" i="1"/>
  <c r="H122" i="1"/>
  <c r="G122" i="1"/>
  <c r="F122" i="1"/>
  <c r="E122" i="1"/>
  <c r="D122" i="1"/>
  <c r="C122" i="1"/>
  <c r="B122" i="1"/>
  <c r="K121" i="1"/>
  <c r="J121" i="1"/>
  <c r="I121" i="1"/>
  <c r="H121" i="1"/>
  <c r="G121" i="1"/>
  <c r="F121" i="1"/>
  <c r="E121" i="1"/>
  <c r="D121" i="1"/>
  <c r="C121" i="1"/>
  <c r="B121" i="1"/>
  <c r="K120" i="1"/>
  <c r="J120" i="1"/>
  <c r="I120" i="1"/>
  <c r="H120" i="1"/>
  <c r="G120" i="1"/>
  <c r="F120" i="1"/>
  <c r="E120" i="1"/>
  <c r="D120" i="1"/>
  <c r="C120" i="1"/>
  <c r="B120" i="1"/>
  <c r="K119" i="1"/>
  <c r="J119" i="1"/>
  <c r="I119" i="1"/>
  <c r="H119" i="1"/>
  <c r="G119" i="1"/>
  <c r="F119" i="1"/>
  <c r="E119" i="1"/>
  <c r="D119" i="1"/>
  <c r="C119" i="1"/>
  <c r="B119" i="1"/>
  <c r="K118" i="1"/>
  <c r="J118" i="1"/>
  <c r="I118" i="1"/>
  <c r="H118" i="1"/>
  <c r="G118" i="1"/>
  <c r="F118" i="1"/>
  <c r="E118" i="1"/>
  <c r="D118" i="1"/>
  <c r="C118" i="1"/>
  <c r="B118" i="1"/>
  <c r="K117" i="1"/>
  <c r="J117" i="1"/>
  <c r="I117" i="1"/>
  <c r="H117" i="1"/>
  <c r="G117" i="1"/>
  <c r="F117" i="1"/>
  <c r="E117" i="1"/>
  <c r="D117" i="1"/>
  <c r="C117" i="1"/>
  <c r="B117" i="1"/>
  <c r="K116" i="1"/>
  <c r="J116" i="1"/>
  <c r="I116" i="1"/>
  <c r="H116" i="1"/>
  <c r="G116" i="1"/>
  <c r="F116" i="1"/>
  <c r="E116" i="1"/>
  <c r="D116" i="1"/>
  <c r="C116" i="1"/>
  <c r="B116" i="1"/>
  <c r="K115" i="1"/>
  <c r="J115" i="1"/>
  <c r="I115" i="1"/>
  <c r="H115" i="1"/>
  <c r="G115" i="1"/>
  <c r="F115" i="1"/>
  <c r="E115" i="1"/>
  <c r="D115" i="1"/>
  <c r="C115" i="1"/>
  <c r="B115" i="1"/>
  <c r="K114" i="1"/>
  <c r="J114" i="1"/>
  <c r="I114" i="1"/>
  <c r="H114" i="1"/>
  <c r="G114" i="1"/>
  <c r="F114" i="1"/>
  <c r="E114" i="1"/>
  <c r="D114" i="1"/>
  <c r="C114" i="1"/>
  <c r="B114" i="1"/>
  <c r="K113" i="1"/>
  <c r="J113" i="1"/>
  <c r="I113" i="1"/>
  <c r="H113" i="1"/>
  <c r="G113" i="1"/>
  <c r="F113" i="1"/>
  <c r="E113" i="1"/>
  <c r="D113" i="1"/>
  <c r="C113" i="1"/>
  <c r="B113" i="1"/>
  <c r="K112" i="1"/>
  <c r="J112" i="1"/>
  <c r="I112" i="1"/>
  <c r="H112" i="1"/>
  <c r="G112" i="1"/>
  <c r="F112" i="1"/>
  <c r="E112" i="1"/>
  <c r="D112" i="1"/>
  <c r="C112" i="1"/>
  <c r="B112" i="1"/>
  <c r="K111" i="1"/>
  <c r="J111" i="1"/>
  <c r="I111" i="1"/>
  <c r="H111" i="1"/>
  <c r="G111" i="1"/>
  <c r="F111" i="1"/>
  <c r="E111" i="1"/>
  <c r="D111" i="1"/>
  <c r="C111" i="1"/>
  <c r="B111" i="1"/>
  <c r="K110" i="1"/>
  <c r="J110" i="1"/>
  <c r="I110" i="1"/>
  <c r="H110" i="1"/>
  <c r="G110" i="1"/>
  <c r="F110" i="1"/>
  <c r="E110" i="1"/>
  <c r="D110" i="1"/>
  <c r="C110" i="1"/>
  <c r="B110" i="1"/>
  <c r="K109" i="1"/>
  <c r="J109" i="1"/>
  <c r="I109" i="1"/>
  <c r="H109" i="1"/>
  <c r="G109" i="1"/>
  <c r="F109" i="1"/>
  <c r="E109" i="1"/>
  <c r="D109" i="1"/>
  <c r="C109" i="1"/>
  <c r="B109" i="1"/>
  <c r="K108" i="1"/>
  <c r="J108" i="1"/>
  <c r="I108" i="1"/>
  <c r="H108" i="1"/>
  <c r="G108" i="1"/>
  <c r="F108" i="1"/>
  <c r="E108" i="1"/>
  <c r="D108" i="1"/>
  <c r="C108" i="1"/>
  <c r="B108" i="1"/>
  <c r="K107" i="1"/>
  <c r="J107" i="1"/>
  <c r="I107" i="1"/>
  <c r="H107" i="1"/>
  <c r="G107" i="1"/>
  <c r="F107" i="1"/>
  <c r="E107" i="1"/>
  <c r="D107" i="1"/>
  <c r="C107" i="1"/>
  <c r="B107" i="1"/>
  <c r="K106" i="1"/>
  <c r="J106" i="1"/>
  <c r="I106" i="1"/>
  <c r="H106" i="1"/>
  <c r="G106" i="1"/>
  <c r="F106" i="1"/>
  <c r="E106" i="1"/>
  <c r="D106" i="1"/>
  <c r="C106" i="1"/>
  <c r="B106" i="1"/>
  <c r="K105" i="1"/>
  <c r="J105" i="1"/>
  <c r="I105" i="1"/>
  <c r="H105" i="1"/>
  <c r="G105" i="1"/>
  <c r="F105" i="1"/>
  <c r="E105" i="1"/>
  <c r="D105" i="1"/>
  <c r="C105" i="1"/>
  <c r="B105" i="1"/>
  <c r="K104" i="1"/>
  <c r="J104" i="1"/>
  <c r="I104" i="1"/>
  <c r="H104" i="1"/>
  <c r="G104" i="1"/>
  <c r="F104" i="1"/>
  <c r="E104" i="1"/>
  <c r="D104" i="1"/>
  <c r="C104" i="1"/>
  <c r="B104" i="1"/>
  <c r="K103" i="1"/>
  <c r="J103" i="1"/>
  <c r="I103" i="1"/>
  <c r="H103" i="1"/>
  <c r="G103" i="1"/>
  <c r="F103" i="1"/>
  <c r="E103" i="1"/>
  <c r="D103" i="1"/>
  <c r="C103" i="1"/>
  <c r="B103" i="1"/>
  <c r="K102" i="1"/>
  <c r="J102" i="1"/>
  <c r="I102" i="1"/>
  <c r="H102" i="1"/>
  <c r="G102" i="1"/>
  <c r="F102" i="1"/>
  <c r="E102" i="1"/>
  <c r="D102" i="1"/>
  <c r="C102" i="1"/>
  <c r="B102" i="1"/>
  <c r="K101" i="1"/>
  <c r="J101" i="1"/>
  <c r="I101" i="1"/>
  <c r="H101" i="1"/>
  <c r="G101" i="1"/>
  <c r="F101" i="1"/>
  <c r="E101" i="1"/>
  <c r="D101" i="1"/>
  <c r="C101" i="1"/>
  <c r="B101" i="1"/>
  <c r="K100" i="1"/>
  <c r="J100" i="1"/>
  <c r="I100" i="1"/>
  <c r="H100" i="1"/>
  <c r="G100" i="1"/>
  <c r="F100" i="1"/>
  <c r="E100" i="1"/>
  <c r="D100" i="1"/>
  <c r="C100" i="1"/>
  <c r="B100" i="1"/>
  <c r="K99" i="1"/>
  <c r="J99" i="1"/>
  <c r="I99" i="1"/>
  <c r="H99" i="1"/>
  <c r="G99" i="1"/>
  <c r="F99" i="1"/>
  <c r="E99" i="1"/>
  <c r="D99" i="1"/>
  <c r="C99" i="1"/>
  <c r="B99" i="1"/>
  <c r="K98" i="1"/>
  <c r="J98" i="1"/>
  <c r="I98" i="1"/>
  <c r="H98" i="1"/>
  <c r="G98" i="1"/>
  <c r="F98" i="1"/>
  <c r="E98" i="1"/>
  <c r="D98" i="1"/>
  <c r="C98" i="1"/>
  <c r="B98" i="1"/>
  <c r="K97" i="1"/>
  <c r="J97" i="1"/>
  <c r="I97" i="1"/>
  <c r="H97" i="1"/>
  <c r="G97" i="1"/>
  <c r="F97" i="1"/>
  <c r="E97" i="1"/>
  <c r="D97" i="1"/>
  <c r="C97" i="1"/>
  <c r="B97" i="1"/>
  <c r="K96" i="1"/>
  <c r="J96" i="1"/>
  <c r="I96" i="1"/>
  <c r="H96" i="1"/>
  <c r="G96" i="1"/>
  <c r="F96" i="1"/>
  <c r="E96" i="1"/>
  <c r="D96" i="1"/>
  <c r="C96" i="1"/>
  <c r="B96" i="1"/>
  <c r="K95" i="1"/>
  <c r="J95" i="1"/>
  <c r="I95" i="1"/>
  <c r="H95" i="1"/>
  <c r="G95" i="1"/>
  <c r="F95" i="1"/>
  <c r="E95" i="1"/>
  <c r="D95" i="1"/>
  <c r="C95" i="1"/>
  <c r="B95" i="1"/>
  <c r="K94" i="1"/>
  <c r="J94" i="1"/>
  <c r="I94" i="1"/>
  <c r="H94" i="1"/>
  <c r="G94" i="1"/>
  <c r="F94" i="1"/>
  <c r="E94" i="1"/>
  <c r="D94" i="1"/>
  <c r="C94" i="1"/>
  <c r="B94" i="1"/>
  <c r="K93" i="1"/>
  <c r="J93" i="1"/>
  <c r="I93" i="1"/>
  <c r="H93" i="1"/>
  <c r="G93" i="1"/>
  <c r="F93" i="1"/>
  <c r="E93" i="1"/>
  <c r="D93" i="1"/>
  <c r="C93" i="1"/>
  <c r="B93" i="1"/>
  <c r="K92" i="1"/>
  <c r="J92" i="1"/>
  <c r="I92" i="1"/>
  <c r="H92" i="1"/>
  <c r="G92" i="1"/>
  <c r="F92" i="1"/>
  <c r="E92" i="1"/>
  <c r="D92" i="1"/>
  <c r="C92" i="1"/>
  <c r="B92" i="1"/>
  <c r="K91" i="1"/>
  <c r="J91" i="1"/>
  <c r="I91" i="1"/>
  <c r="H91" i="1"/>
  <c r="G91" i="1"/>
  <c r="F91" i="1"/>
  <c r="E91" i="1"/>
  <c r="D91" i="1"/>
  <c r="C91" i="1"/>
  <c r="B91" i="1"/>
  <c r="K90" i="1"/>
  <c r="J90" i="1"/>
  <c r="I90" i="1"/>
  <c r="H90" i="1"/>
  <c r="G90" i="1"/>
  <c r="F90" i="1"/>
  <c r="E90" i="1"/>
  <c r="D90" i="1"/>
  <c r="C90" i="1"/>
  <c r="B90" i="1"/>
  <c r="K89" i="1"/>
  <c r="J89" i="1"/>
  <c r="I89" i="1"/>
  <c r="H89" i="1"/>
  <c r="G89" i="1"/>
  <c r="F89" i="1"/>
  <c r="E89" i="1"/>
  <c r="D89" i="1"/>
  <c r="C89" i="1"/>
  <c r="B89" i="1"/>
  <c r="K88" i="1"/>
  <c r="J88" i="1"/>
  <c r="I88" i="1"/>
  <c r="H88" i="1"/>
  <c r="G88" i="1"/>
  <c r="F88" i="1"/>
  <c r="E88" i="1"/>
  <c r="D88" i="1"/>
  <c r="C88" i="1"/>
  <c r="B88" i="1"/>
  <c r="K87" i="1"/>
  <c r="J87" i="1"/>
  <c r="I87" i="1"/>
  <c r="H87" i="1"/>
  <c r="G87" i="1"/>
  <c r="F87" i="1"/>
  <c r="E87" i="1"/>
  <c r="D87" i="1"/>
  <c r="C87" i="1"/>
  <c r="B87" i="1"/>
  <c r="K86" i="1"/>
  <c r="J86" i="1"/>
  <c r="I86" i="1"/>
  <c r="H86" i="1"/>
  <c r="G86" i="1"/>
  <c r="F86" i="1"/>
  <c r="E86" i="1"/>
  <c r="D86" i="1"/>
  <c r="C86" i="1"/>
  <c r="B86" i="1"/>
  <c r="K85" i="1"/>
  <c r="J85" i="1"/>
  <c r="I85" i="1"/>
  <c r="H85" i="1"/>
  <c r="G85" i="1"/>
  <c r="F85" i="1"/>
  <c r="E85" i="1"/>
  <c r="D85" i="1"/>
  <c r="C85" i="1"/>
  <c r="B85" i="1"/>
  <c r="K84" i="1"/>
  <c r="J84" i="1"/>
  <c r="I84" i="1"/>
  <c r="H84" i="1"/>
  <c r="G84" i="1"/>
  <c r="F84" i="1"/>
  <c r="E84" i="1"/>
  <c r="D84" i="1"/>
  <c r="C84" i="1"/>
  <c r="B84" i="1"/>
  <c r="K83" i="1"/>
  <c r="J83" i="1"/>
  <c r="I83" i="1"/>
  <c r="H83" i="1"/>
  <c r="G83" i="1"/>
  <c r="F83" i="1"/>
  <c r="E83" i="1"/>
  <c r="D83" i="1"/>
  <c r="C83" i="1"/>
  <c r="B83" i="1"/>
  <c r="K82" i="1"/>
  <c r="J82" i="1"/>
  <c r="I82" i="1"/>
  <c r="H82" i="1"/>
  <c r="G82" i="1"/>
  <c r="F82" i="1"/>
  <c r="E82" i="1"/>
  <c r="D82" i="1"/>
  <c r="C82" i="1"/>
  <c r="B82" i="1"/>
  <c r="K81" i="1"/>
  <c r="J81" i="1"/>
  <c r="I81" i="1"/>
  <c r="H81" i="1"/>
  <c r="G81" i="1"/>
  <c r="F81" i="1"/>
  <c r="E81" i="1"/>
  <c r="D81" i="1"/>
  <c r="C81" i="1"/>
  <c r="B81" i="1"/>
  <c r="K80" i="1"/>
  <c r="J80" i="1"/>
  <c r="I80" i="1"/>
  <c r="H80" i="1"/>
  <c r="G80" i="1"/>
  <c r="F80" i="1"/>
  <c r="E80" i="1"/>
  <c r="D80" i="1"/>
  <c r="C80" i="1"/>
  <c r="B80" i="1"/>
  <c r="K79" i="1"/>
  <c r="J79" i="1"/>
  <c r="I79" i="1"/>
  <c r="H79" i="1"/>
  <c r="G79" i="1"/>
  <c r="F79" i="1"/>
  <c r="E79" i="1"/>
  <c r="D79" i="1"/>
  <c r="C79" i="1"/>
  <c r="B79" i="1"/>
  <c r="K78" i="1"/>
  <c r="J78" i="1"/>
  <c r="I78" i="1"/>
  <c r="H78" i="1"/>
  <c r="G78" i="1"/>
  <c r="F78" i="1"/>
  <c r="E78" i="1"/>
  <c r="D78" i="1"/>
  <c r="C78" i="1"/>
  <c r="B78" i="1"/>
  <c r="K77" i="1"/>
  <c r="J77" i="1"/>
  <c r="I77" i="1"/>
  <c r="H77" i="1"/>
  <c r="G77" i="1"/>
  <c r="F77" i="1"/>
  <c r="E77" i="1"/>
  <c r="D77" i="1"/>
  <c r="C77" i="1"/>
  <c r="B77" i="1"/>
  <c r="K76" i="1"/>
  <c r="J76" i="1"/>
  <c r="I76" i="1"/>
  <c r="H76" i="1"/>
  <c r="G76" i="1"/>
  <c r="F76" i="1"/>
  <c r="E76" i="1"/>
  <c r="D76" i="1"/>
  <c r="C76" i="1"/>
  <c r="B76" i="1"/>
  <c r="K75" i="1"/>
  <c r="J75" i="1"/>
  <c r="I75" i="1"/>
  <c r="H75" i="1"/>
  <c r="G75" i="1"/>
  <c r="F75" i="1"/>
  <c r="E75" i="1"/>
  <c r="D75" i="1"/>
  <c r="C75" i="1"/>
  <c r="B75" i="1"/>
  <c r="K74" i="1"/>
  <c r="J74" i="1"/>
  <c r="I74" i="1"/>
  <c r="H74" i="1"/>
  <c r="G74" i="1"/>
  <c r="F74" i="1"/>
  <c r="E74" i="1"/>
  <c r="D74" i="1"/>
  <c r="C74" i="1"/>
  <c r="B74" i="1"/>
  <c r="K73" i="1"/>
  <c r="J73" i="1"/>
  <c r="I73" i="1"/>
  <c r="H73" i="1"/>
  <c r="G73" i="1"/>
  <c r="F73" i="1"/>
  <c r="E73" i="1"/>
  <c r="D73" i="1"/>
  <c r="C73" i="1"/>
  <c r="B73" i="1"/>
  <c r="K72" i="1"/>
  <c r="J72" i="1"/>
  <c r="I72" i="1"/>
  <c r="H72" i="1"/>
  <c r="G72" i="1"/>
  <c r="F72" i="1"/>
  <c r="E72" i="1"/>
  <c r="D72" i="1"/>
  <c r="C72" i="1"/>
  <c r="B72" i="1"/>
  <c r="K71" i="1"/>
  <c r="J71" i="1"/>
  <c r="I71" i="1"/>
  <c r="H71" i="1"/>
  <c r="G71" i="1"/>
  <c r="F71" i="1"/>
  <c r="E71" i="1"/>
  <c r="D71" i="1"/>
  <c r="C71" i="1"/>
  <c r="B71" i="1"/>
  <c r="K70" i="1"/>
  <c r="J70" i="1"/>
  <c r="I70" i="1"/>
  <c r="H70" i="1"/>
  <c r="G70" i="1"/>
  <c r="F70" i="1"/>
  <c r="E70" i="1"/>
  <c r="D70" i="1"/>
  <c r="C70" i="1"/>
  <c r="B70" i="1"/>
  <c r="K69" i="1"/>
  <c r="J69" i="1"/>
  <c r="I69" i="1"/>
  <c r="H69" i="1"/>
  <c r="G69" i="1"/>
  <c r="F69" i="1"/>
  <c r="E69" i="1"/>
  <c r="D69" i="1"/>
  <c r="C69" i="1"/>
  <c r="B69" i="1"/>
  <c r="K68" i="1"/>
  <c r="J68" i="1"/>
  <c r="I68" i="1"/>
  <c r="H68" i="1"/>
  <c r="G68" i="1"/>
  <c r="F68" i="1"/>
  <c r="E68" i="1"/>
  <c r="D68" i="1"/>
  <c r="C68" i="1"/>
  <c r="B68" i="1"/>
  <c r="K67" i="1"/>
  <c r="J67" i="1"/>
  <c r="I67" i="1"/>
  <c r="H67" i="1"/>
  <c r="G67" i="1"/>
  <c r="F67" i="1"/>
  <c r="E67" i="1"/>
  <c r="D67" i="1"/>
  <c r="C67" i="1"/>
  <c r="B67" i="1"/>
  <c r="K66" i="1"/>
  <c r="J66" i="1"/>
  <c r="I66" i="1"/>
  <c r="H66" i="1"/>
  <c r="G66" i="1"/>
  <c r="F66" i="1"/>
  <c r="E66" i="1"/>
  <c r="D66" i="1"/>
  <c r="C66" i="1"/>
  <c r="B66" i="1"/>
  <c r="K65" i="1"/>
  <c r="J65" i="1"/>
  <c r="I65" i="1"/>
  <c r="H65" i="1"/>
  <c r="G65" i="1"/>
  <c r="F65" i="1"/>
  <c r="E65" i="1"/>
  <c r="D65" i="1"/>
  <c r="C65" i="1"/>
  <c r="B65" i="1"/>
  <c r="K64" i="1"/>
  <c r="J64" i="1"/>
  <c r="I64" i="1"/>
  <c r="H64" i="1"/>
  <c r="G64" i="1"/>
  <c r="F64" i="1"/>
  <c r="E64" i="1"/>
  <c r="D64" i="1"/>
  <c r="C64" i="1"/>
  <c r="B64" i="1"/>
  <c r="K63" i="1"/>
  <c r="J63" i="1"/>
  <c r="I63" i="1"/>
  <c r="H63" i="1"/>
  <c r="G63" i="1"/>
  <c r="F63" i="1"/>
  <c r="E63" i="1"/>
  <c r="D63" i="1"/>
  <c r="C63" i="1"/>
  <c r="B63" i="1"/>
  <c r="K62" i="1"/>
  <c r="J62" i="1"/>
  <c r="I62" i="1"/>
  <c r="H62" i="1"/>
  <c r="G62" i="1"/>
  <c r="F62" i="1"/>
  <c r="E62" i="1"/>
  <c r="D62" i="1"/>
  <c r="C62" i="1"/>
  <c r="B62" i="1"/>
  <c r="K61" i="1"/>
  <c r="J61" i="1"/>
  <c r="I61" i="1"/>
  <c r="H61" i="1"/>
  <c r="G61" i="1"/>
  <c r="F61" i="1"/>
  <c r="E61" i="1"/>
  <c r="D61" i="1"/>
  <c r="C61" i="1"/>
  <c r="B61" i="1"/>
  <c r="K60" i="1"/>
  <c r="J60" i="1"/>
  <c r="I60" i="1"/>
  <c r="H60" i="1"/>
  <c r="G60" i="1"/>
  <c r="F60" i="1"/>
  <c r="E60" i="1"/>
  <c r="D60" i="1"/>
  <c r="C60" i="1"/>
  <c r="B60" i="1"/>
  <c r="K59" i="1"/>
  <c r="J59" i="1"/>
  <c r="I59" i="1"/>
  <c r="H59" i="1"/>
  <c r="G59" i="1"/>
  <c r="F59" i="1"/>
  <c r="E59" i="1"/>
  <c r="D59" i="1"/>
  <c r="C59" i="1"/>
  <c r="B59" i="1"/>
  <c r="K58" i="1"/>
  <c r="J58" i="1"/>
  <c r="I58" i="1"/>
  <c r="H58" i="1"/>
  <c r="G58" i="1"/>
  <c r="F58" i="1"/>
  <c r="E58" i="1"/>
  <c r="D58" i="1"/>
  <c r="C58" i="1"/>
  <c r="B58" i="1"/>
  <c r="K57" i="1"/>
  <c r="J57" i="1"/>
  <c r="I57" i="1"/>
  <c r="H57" i="1"/>
  <c r="G57" i="1"/>
  <c r="F57" i="1"/>
  <c r="E57" i="1"/>
  <c r="D57" i="1"/>
  <c r="C57" i="1"/>
  <c r="B57" i="1"/>
  <c r="K56" i="1"/>
  <c r="J56" i="1"/>
  <c r="I56" i="1"/>
  <c r="H56" i="1"/>
  <c r="G56" i="1"/>
  <c r="F56" i="1"/>
  <c r="E56" i="1"/>
  <c r="D56" i="1"/>
  <c r="C56" i="1"/>
  <c r="B56" i="1"/>
  <c r="K55" i="1"/>
  <c r="J55" i="1"/>
  <c r="I55" i="1"/>
  <c r="H55" i="1"/>
  <c r="G55" i="1"/>
  <c r="F55" i="1"/>
  <c r="E55" i="1"/>
  <c r="D55" i="1"/>
  <c r="C55" i="1"/>
  <c r="B55" i="1"/>
  <c r="K54" i="1"/>
  <c r="J54" i="1"/>
  <c r="I54" i="1"/>
  <c r="H54" i="1"/>
  <c r="G54" i="1"/>
  <c r="F54" i="1"/>
  <c r="E54" i="1"/>
  <c r="D54" i="1"/>
  <c r="C54" i="1"/>
  <c r="B54" i="1"/>
  <c r="K53" i="1"/>
  <c r="J53" i="1"/>
  <c r="I53" i="1"/>
  <c r="H53" i="1"/>
  <c r="G53" i="1"/>
  <c r="F53" i="1"/>
  <c r="E53" i="1"/>
  <c r="D53" i="1"/>
  <c r="C53" i="1"/>
  <c r="B53" i="1"/>
  <c r="K52" i="1"/>
  <c r="J52" i="1"/>
  <c r="I52" i="1"/>
  <c r="H52" i="1"/>
  <c r="G52" i="1"/>
  <c r="F52" i="1"/>
  <c r="E52" i="1"/>
  <c r="D52" i="1"/>
  <c r="C52" i="1"/>
  <c r="B52" i="1"/>
  <c r="K51" i="1"/>
  <c r="J51" i="1"/>
  <c r="I51" i="1"/>
  <c r="H51" i="1"/>
  <c r="G51" i="1"/>
  <c r="F51" i="1"/>
  <c r="E51" i="1"/>
  <c r="D51" i="1"/>
  <c r="C51" i="1"/>
  <c r="B51" i="1"/>
  <c r="K50" i="1"/>
  <c r="J50" i="1"/>
  <c r="I50" i="1"/>
  <c r="H50" i="1"/>
  <c r="G50" i="1"/>
  <c r="F50" i="1"/>
  <c r="E50" i="1"/>
  <c r="D50" i="1"/>
  <c r="C50" i="1"/>
  <c r="B50" i="1"/>
  <c r="K49" i="1"/>
  <c r="J49" i="1"/>
  <c r="I49" i="1"/>
  <c r="H49" i="1"/>
  <c r="G49" i="1"/>
  <c r="F49" i="1"/>
  <c r="E49" i="1"/>
  <c r="D49" i="1"/>
  <c r="C49" i="1"/>
  <c r="B49" i="1"/>
  <c r="K48" i="1"/>
  <c r="J48" i="1"/>
  <c r="I48" i="1"/>
  <c r="H48" i="1"/>
  <c r="G48" i="1"/>
  <c r="F48" i="1"/>
  <c r="E48" i="1"/>
  <c r="D48" i="1"/>
  <c r="C48" i="1"/>
  <c r="B48" i="1"/>
  <c r="K47" i="1"/>
  <c r="J47" i="1"/>
  <c r="I47" i="1"/>
  <c r="H47" i="1"/>
  <c r="G47" i="1"/>
  <c r="F47" i="1"/>
  <c r="E47" i="1"/>
  <c r="D47" i="1"/>
  <c r="C47" i="1"/>
  <c r="B47" i="1"/>
  <c r="K46" i="1"/>
  <c r="J46" i="1"/>
  <c r="I46" i="1"/>
  <c r="H46" i="1"/>
  <c r="G46" i="1"/>
  <c r="F46" i="1"/>
  <c r="E46" i="1"/>
  <c r="D46" i="1"/>
  <c r="C46" i="1"/>
  <c r="B46" i="1"/>
  <c r="K45" i="1"/>
  <c r="J45" i="1"/>
  <c r="I45" i="1"/>
  <c r="H45" i="1"/>
  <c r="G45" i="1"/>
  <c r="F45" i="1"/>
  <c r="E45" i="1"/>
  <c r="D45" i="1"/>
  <c r="C45" i="1"/>
  <c r="B45" i="1"/>
  <c r="K44" i="1"/>
  <c r="J44" i="1"/>
  <c r="I44" i="1"/>
  <c r="H44" i="1"/>
  <c r="G44" i="1"/>
  <c r="F44" i="1"/>
  <c r="E44" i="1"/>
  <c r="D44" i="1"/>
  <c r="C44" i="1"/>
  <c r="B44" i="1"/>
  <c r="K43" i="1"/>
  <c r="J43" i="1"/>
  <c r="I43" i="1"/>
  <c r="H43" i="1"/>
  <c r="G43" i="1"/>
  <c r="F43" i="1"/>
  <c r="E43" i="1"/>
  <c r="D43" i="1"/>
  <c r="C43" i="1"/>
  <c r="B43" i="1"/>
  <c r="K42" i="1"/>
  <c r="J42" i="1"/>
  <c r="I42" i="1"/>
  <c r="H42" i="1"/>
  <c r="G42" i="1"/>
  <c r="F42" i="1"/>
  <c r="E42" i="1"/>
  <c r="D42" i="1"/>
  <c r="C42" i="1"/>
  <c r="B42" i="1"/>
  <c r="K41" i="1"/>
  <c r="J41" i="1"/>
  <c r="I41" i="1"/>
  <c r="H41" i="1"/>
  <c r="G41" i="1"/>
  <c r="F41" i="1"/>
  <c r="E41" i="1"/>
  <c r="D41" i="1"/>
  <c r="C41" i="1"/>
  <c r="B41" i="1"/>
  <c r="K40" i="1"/>
  <c r="J40" i="1"/>
  <c r="I40" i="1"/>
  <c r="H40" i="1"/>
  <c r="G40" i="1"/>
  <c r="F40" i="1"/>
  <c r="E40" i="1"/>
  <c r="D40" i="1"/>
  <c r="C40" i="1"/>
  <c r="B40" i="1"/>
  <c r="K39" i="1"/>
  <c r="J39" i="1"/>
  <c r="I39" i="1"/>
  <c r="H39" i="1"/>
  <c r="G39" i="1"/>
  <c r="F39" i="1"/>
  <c r="E39" i="1"/>
  <c r="D39" i="1"/>
  <c r="C39" i="1"/>
  <c r="B39" i="1"/>
  <c r="K38" i="1"/>
  <c r="J38" i="1"/>
  <c r="I38" i="1"/>
  <c r="H38" i="1"/>
  <c r="G38" i="1"/>
  <c r="F38" i="1"/>
  <c r="E38" i="1"/>
  <c r="D38" i="1"/>
  <c r="C38" i="1"/>
  <c r="B38" i="1"/>
  <c r="K37" i="1"/>
  <c r="J37" i="1"/>
  <c r="I37" i="1"/>
  <c r="H37" i="1"/>
  <c r="G37" i="1"/>
  <c r="F37" i="1"/>
  <c r="E37" i="1"/>
  <c r="D37" i="1"/>
  <c r="C37" i="1"/>
  <c r="B37" i="1"/>
  <c r="K36" i="1"/>
  <c r="J36" i="1"/>
  <c r="I36" i="1"/>
  <c r="H36" i="1"/>
  <c r="G36" i="1"/>
  <c r="F36" i="1"/>
  <c r="E36" i="1"/>
  <c r="D36" i="1"/>
  <c r="C36" i="1"/>
  <c r="B36" i="1"/>
  <c r="K35" i="1"/>
  <c r="J35" i="1"/>
  <c r="I35" i="1"/>
  <c r="H35" i="1"/>
  <c r="G35" i="1"/>
  <c r="F35" i="1"/>
  <c r="E35" i="1"/>
  <c r="D35" i="1"/>
  <c r="C35" i="1"/>
  <c r="B35" i="1"/>
  <c r="K34" i="1"/>
  <c r="J34" i="1"/>
  <c r="I34" i="1"/>
  <c r="H34" i="1"/>
  <c r="G34" i="1"/>
  <c r="F34" i="1"/>
  <c r="E34" i="1"/>
  <c r="D34" i="1"/>
  <c r="C34" i="1"/>
  <c r="B34" i="1"/>
  <c r="K33" i="1"/>
  <c r="J33" i="1"/>
  <c r="I33" i="1"/>
  <c r="H33" i="1"/>
  <c r="G33" i="1"/>
  <c r="F33" i="1"/>
  <c r="E33" i="1"/>
  <c r="D33" i="1"/>
  <c r="C33" i="1"/>
  <c r="B33" i="1"/>
  <c r="K32" i="1"/>
  <c r="J32" i="1"/>
  <c r="I32" i="1"/>
  <c r="H32" i="1"/>
  <c r="G32" i="1"/>
  <c r="F32" i="1"/>
  <c r="E32" i="1"/>
  <c r="D32" i="1"/>
  <c r="C32" i="1"/>
  <c r="B32" i="1"/>
  <c r="K31" i="1"/>
  <c r="J31" i="1"/>
  <c r="I31" i="1"/>
  <c r="H31" i="1"/>
  <c r="G31" i="1"/>
  <c r="F31" i="1"/>
  <c r="E31" i="1"/>
  <c r="D31" i="1"/>
  <c r="C31" i="1"/>
  <c r="B31" i="1"/>
  <c r="K30" i="1"/>
  <c r="J30" i="1"/>
  <c r="I30" i="1"/>
  <c r="H30" i="1"/>
  <c r="G30" i="1"/>
  <c r="F30" i="1"/>
  <c r="E30" i="1"/>
  <c r="D30" i="1"/>
  <c r="C30" i="1"/>
  <c r="B30" i="1"/>
  <c r="K29" i="1"/>
  <c r="J29" i="1"/>
  <c r="I29" i="1"/>
  <c r="H29" i="1"/>
  <c r="G29" i="1"/>
  <c r="F29" i="1"/>
  <c r="E29" i="1"/>
  <c r="D29" i="1"/>
  <c r="C29" i="1"/>
  <c r="B29" i="1"/>
  <c r="K28" i="1"/>
  <c r="J28" i="1"/>
  <c r="I28" i="1"/>
  <c r="H28" i="1"/>
  <c r="G28" i="1"/>
  <c r="F28" i="1"/>
  <c r="E28" i="1"/>
  <c r="D28" i="1"/>
  <c r="C28" i="1"/>
  <c r="B28" i="1"/>
  <c r="K27" i="1"/>
  <c r="J27" i="1"/>
  <c r="I27" i="1"/>
  <c r="H27" i="1"/>
  <c r="G27" i="1"/>
  <c r="F27" i="1"/>
  <c r="E27" i="1"/>
  <c r="D27" i="1"/>
  <c r="C27" i="1"/>
  <c r="B27" i="1"/>
  <c r="K26" i="1"/>
  <c r="J26" i="1"/>
  <c r="I26" i="1"/>
  <c r="H26" i="1"/>
  <c r="G26" i="1"/>
  <c r="F26" i="1"/>
  <c r="E26" i="1"/>
  <c r="D26" i="1"/>
  <c r="C26" i="1"/>
  <c r="B26" i="1"/>
  <c r="K25" i="1"/>
  <c r="J25" i="1"/>
  <c r="I25" i="1"/>
  <c r="H25" i="1"/>
  <c r="G25" i="1"/>
  <c r="F25" i="1"/>
  <c r="E25" i="1"/>
  <c r="D25" i="1"/>
  <c r="C25" i="1"/>
  <c r="B25" i="1"/>
  <c r="K24" i="1"/>
  <c r="J24" i="1"/>
  <c r="I24" i="1"/>
  <c r="H24" i="1"/>
  <c r="G24" i="1"/>
  <c r="F24" i="1"/>
  <c r="E24" i="1"/>
  <c r="D24" i="1"/>
  <c r="C24" i="1"/>
  <c r="B24" i="1"/>
  <c r="K23" i="1"/>
  <c r="J23" i="1"/>
  <c r="I23" i="1"/>
  <c r="H23" i="1"/>
  <c r="G23" i="1"/>
  <c r="F23" i="1"/>
  <c r="E23" i="1"/>
  <c r="D23" i="1"/>
  <c r="C23" i="1"/>
  <c r="B23" i="1"/>
  <c r="K22" i="1"/>
  <c r="J22" i="1"/>
  <c r="I22" i="1"/>
  <c r="H22" i="1"/>
  <c r="G22" i="1"/>
  <c r="F22" i="1"/>
  <c r="E22" i="1"/>
  <c r="D22" i="1"/>
  <c r="C22" i="1"/>
  <c r="B22" i="1"/>
  <c r="K21" i="1"/>
  <c r="J21" i="1"/>
  <c r="I21" i="1"/>
  <c r="H21" i="1"/>
  <c r="G21" i="1"/>
  <c r="F21" i="1"/>
  <c r="E21" i="1"/>
  <c r="D21" i="1"/>
  <c r="C21" i="1"/>
  <c r="B21" i="1"/>
  <c r="K20" i="1"/>
  <c r="J20" i="1"/>
  <c r="I20" i="1"/>
  <c r="H20" i="1"/>
  <c r="G20" i="1"/>
  <c r="F20" i="1"/>
  <c r="E20" i="1"/>
  <c r="D20" i="1"/>
  <c r="C20" i="1"/>
  <c r="B20" i="1"/>
  <c r="K19" i="1"/>
  <c r="J19" i="1"/>
  <c r="I19" i="1"/>
  <c r="H19" i="1"/>
  <c r="G19" i="1"/>
  <c r="F19" i="1"/>
  <c r="E19" i="1"/>
  <c r="D19" i="1"/>
  <c r="C19" i="1"/>
  <c r="B19" i="1"/>
  <c r="K18" i="1"/>
  <c r="J18" i="1"/>
  <c r="I18" i="1"/>
  <c r="H18" i="1"/>
  <c r="G18" i="1"/>
  <c r="F18" i="1"/>
  <c r="E18" i="1"/>
  <c r="D18" i="1"/>
  <c r="C18" i="1"/>
  <c r="B18" i="1"/>
  <c r="K17" i="1"/>
  <c r="J17" i="1"/>
  <c r="I17" i="1"/>
  <c r="H17" i="1"/>
  <c r="G17" i="1"/>
  <c r="F17" i="1"/>
  <c r="E17" i="1"/>
  <c r="D17" i="1"/>
  <c r="C17" i="1"/>
  <c r="B17" i="1"/>
  <c r="K16" i="1"/>
  <c r="J16" i="1"/>
  <c r="I16" i="1"/>
  <c r="H16" i="1"/>
  <c r="G16" i="1"/>
  <c r="F16" i="1"/>
  <c r="E16" i="1"/>
  <c r="D16" i="1"/>
  <c r="C16" i="1"/>
  <c r="B16" i="1"/>
  <c r="K15" i="1"/>
  <c r="J15" i="1"/>
  <c r="I15" i="1"/>
  <c r="H15" i="1"/>
  <c r="G15" i="1"/>
  <c r="F15" i="1"/>
  <c r="E15" i="1"/>
  <c r="D15" i="1"/>
  <c r="C15" i="1"/>
  <c r="B15" i="1"/>
  <c r="K14" i="1"/>
  <c r="J14" i="1"/>
  <c r="I14" i="1"/>
  <c r="H14" i="1"/>
  <c r="G14" i="1"/>
  <c r="F14" i="1"/>
  <c r="E14" i="1"/>
  <c r="D14" i="1"/>
  <c r="C14" i="1"/>
  <c r="B14" i="1"/>
  <c r="K13" i="1"/>
  <c r="J13" i="1"/>
  <c r="I13" i="1"/>
  <c r="H13" i="1"/>
  <c r="G13" i="1"/>
  <c r="F13" i="1"/>
  <c r="E13" i="1"/>
  <c r="D13" i="1"/>
  <c r="C13" i="1"/>
  <c r="B13" i="1"/>
  <c r="K12" i="1"/>
  <c r="J12" i="1"/>
  <c r="I12" i="1"/>
  <c r="H12" i="1"/>
  <c r="G12" i="1"/>
  <c r="F12" i="1"/>
  <c r="E12" i="1"/>
  <c r="D12" i="1"/>
  <c r="C12" i="1"/>
  <c r="B12" i="1"/>
  <c r="K11" i="1"/>
  <c r="J11" i="1"/>
  <c r="I11" i="1"/>
  <c r="H11" i="1"/>
  <c r="G11" i="1"/>
  <c r="F11" i="1"/>
  <c r="E11" i="1"/>
  <c r="D11" i="1"/>
  <c r="C11" i="1"/>
  <c r="B11" i="1"/>
  <c r="K10" i="1"/>
  <c r="J10" i="1"/>
  <c r="I10" i="1"/>
  <c r="H10" i="1"/>
  <c r="G10" i="1"/>
  <c r="F10" i="1"/>
  <c r="E10" i="1"/>
  <c r="D10" i="1"/>
  <c r="C10" i="1"/>
  <c r="B10" i="1"/>
  <c r="K9" i="1"/>
  <c r="J9" i="1"/>
  <c r="I9" i="1"/>
  <c r="H9" i="1"/>
  <c r="G9" i="1"/>
  <c r="F9" i="1"/>
  <c r="E9" i="1"/>
  <c r="D9" i="1"/>
  <c r="C9" i="1"/>
  <c r="B9" i="1"/>
  <c r="K8" i="1"/>
  <c r="J8" i="1"/>
  <c r="I8" i="1"/>
  <c r="H8" i="1"/>
  <c r="G8" i="1"/>
  <c r="F8" i="1"/>
  <c r="E8" i="1"/>
  <c r="D8" i="1"/>
  <c r="C8" i="1"/>
  <c r="B8" i="1"/>
  <c r="K7" i="1"/>
  <c r="J7" i="1"/>
  <c r="I7" i="1"/>
  <c r="H7" i="1"/>
  <c r="G7" i="1"/>
  <c r="F7" i="1"/>
  <c r="E7" i="1"/>
  <c r="D7" i="1"/>
  <c r="C7" i="1"/>
  <c r="B7" i="1"/>
  <c r="K6" i="1"/>
  <c r="J6" i="1"/>
  <c r="I6" i="1"/>
  <c r="H6" i="1"/>
  <c r="G6" i="1"/>
  <c r="F6" i="1"/>
  <c r="E6" i="1"/>
  <c r="D6" i="1"/>
  <c r="C6" i="1"/>
  <c r="B6" i="1"/>
  <c r="K5" i="1"/>
  <c r="J5" i="1"/>
  <c r="I5" i="1"/>
  <c r="H5" i="1"/>
  <c r="G5" i="1"/>
  <c r="F5" i="1"/>
  <c r="E5" i="1"/>
  <c r="D5" i="1"/>
  <c r="C5" i="1"/>
  <c r="B5" i="1"/>
  <c r="K4" i="1"/>
  <c r="J4" i="1"/>
  <c r="I4" i="1"/>
  <c r="H4" i="1"/>
  <c r="G4" i="1"/>
  <c r="F4" i="1"/>
  <c r="E4" i="1"/>
  <c r="D4" i="1"/>
  <c r="C4" i="1"/>
  <c r="B4" i="1"/>
  <c r="K3" i="1"/>
  <c r="J3" i="1"/>
  <c r="I3" i="1"/>
  <c r="H3" i="1"/>
  <c r="G3" i="1"/>
  <c r="F3" i="1"/>
  <c r="E3" i="1"/>
  <c r="D3" i="1"/>
  <c r="C3" i="1"/>
  <c r="B3" i="1"/>
  <c r="K2" i="1"/>
  <c r="J2" i="1"/>
  <c r="I2" i="1"/>
  <c r="H2" i="1"/>
  <c r="G2" i="1"/>
  <c r="F2" i="1"/>
  <c r="E2" i="1"/>
  <c r="D2" i="1"/>
  <c r="C2" i="1"/>
  <c r="B2" i="1"/>
</calcChain>
</file>

<file path=xl/sharedStrings.xml><?xml version="1.0" encoding="utf-8"?>
<sst xmlns="http://schemas.openxmlformats.org/spreadsheetml/2006/main" count="252" uniqueCount="252">
  <si>
    <t>key</t>
  </si>
  <si>
    <t>en</t>
  </si>
  <si>
    <t>es</t>
  </si>
  <si>
    <t>ca</t>
  </si>
  <si>
    <t>fr</t>
  </si>
  <si>
    <t>de</t>
  </si>
  <si>
    <t>it</t>
  </si>
  <si>
    <t>nl</t>
  </si>
  <si>
    <t>eu</t>
  </si>
  <si>
    <t>gl</t>
  </si>
  <si>
    <t>zh</t>
  </si>
  <si>
    <t>Hello</t>
  </si>
  <si>
    <t>10 Cut</t>
  </si>
  <si>
    <t>8 Cut</t>
  </si>
  <si>
    <t>About</t>
  </si>
  <si>
    <t>Access Required</t>
  </si>
  <si>
    <t>Active</t>
  </si>
  <si>
    <t>Add New Vehicle!</t>
  </si>
  <si>
    <t>All done no messages</t>
  </si>
  <si>
    <t>Allow Online Access</t>
  </si>
  <si>
    <t>Allow the app to access Do Not Disturb mode.</t>
  </si>
  <si>
    <t>and I own all rights, and therefore grant LARA App permission to use this knowledge and images within the LARA App.</t>
  </si>
  <si>
    <t>Assist</t>
  </si>
  <si>
    <t>Auto Search</t>
  </si>
  <si>
    <t>Backup Tools</t>
  </si>
  <si>
    <t>Bikes</t>
  </si>
  <si>
    <t>BIN Resources</t>
  </si>
  <si>
    <t>Bitting</t>
  </si>
  <si>
    <t>Bitting from Key Code</t>
  </si>
  <si>
    <t>Bitting Search</t>
  </si>
  <si>
    <t>Boot</t>
  </si>
  <si>
    <t>Buy</t>
  </si>
  <si>
    <t>Calc</t>
  </si>
  <si>
    <t>Calculators</t>
  </si>
  <si>
    <t>Camera is not available.</t>
  </si>
  <si>
    <t>CANCEL</t>
  </si>
  <si>
    <t>Cars</t>
  </si>
  <si>
    <t>Checking for Feedback</t>
  </si>
  <si>
    <t>Chips</t>
  </si>
  <si>
    <t>Chrysler Hex to PIN from Eeprom</t>
  </si>
  <si>
    <t>Chrysler Immo Systems</t>
  </si>
  <si>
    <t>Chrysler Security Gateway</t>
  </si>
  <si>
    <t>Clear</t>
  </si>
  <si>
    <t>Clear All</t>
  </si>
  <si>
    <t>Clear All Cuts</t>
  </si>
  <si>
    <t>Codes</t>
  </si>
  <si>
    <t>Comments etc on your Feedback</t>
  </si>
  <si>
    <t>Continue</t>
  </si>
  <si>
    <t>Convert</t>
  </si>
  <si>
    <t>Converted Bitting</t>
  </si>
  <si>
    <t>Converted Bitting with '1' as Deepest</t>
  </si>
  <si>
    <t>Converted Bitting with '1' as Shallowest</t>
  </si>
  <si>
    <t>Conversion</t>
  </si>
  <si>
    <t>CORRECT!</t>
  </si>
  <si>
    <t>Current Database</t>
  </si>
  <si>
    <t>Database has been updated</t>
  </si>
  <si>
    <t>Database has not updated</t>
  </si>
  <si>
    <t>Database Updated</t>
  </si>
  <si>
    <t>DB Connection</t>
  </si>
  <si>
    <t>DB OK</t>
  </si>
  <si>
    <t>Decimal</t>
  </si>
  <si>
    <t>Decoding tools</t>
  </si>
  <si>
    <t>Default Key Machine</t>
  </si>
  <si>
    <t>Direction to Unlock</t>
  </si>
  <si>
    <t>Display Shortcut at startup</t>
  </si>
  <si>
    <t>Does Vehicle have Deadlocking</t>
  </si>
  <si>
    <t>DONE</t>
  </si>
  <si>
    <t>Download Complete</t>
  </si>
  <si>
    <t>Download Fail</t>
  </si>
  <si>
    <t>Downloading Database</t>
  </si>
  <si>
    <t>Edit Account</t>
  </si>
  <si>
    <t>End date if known</t>
  </si>
  <si>
    <t>Enter 4 hex digits from position 6 &amp; 7 from dump</t>
  </si>
  <si>
    <t>enter this into most key cutting machines</t>
  </si>
  <si>
    <t>Entered Bitting</t>
  </si>
  <si>
    <t>Enter VIN</t>
  </si>
  <si>
    <t>Error!</t>
  </si>
  <si>
    <t>Error connecting</t>
  </si>
  <si>
    <t>Error retrieving files</t>
  </si>
  <si>
    <t>Error uploading file</t>
  </si>
  <si>
    <t>Exit Application!</t>
  </si>
  <si>
    <t>FAILED!</t>
  </si>
  <si>
    <t>Feedback</t>
  </si>
  <si>
    <t>Feedback OBD</t>
  </si>
  <si>
    <t>Feedback Remotes</t>
  </si>
  <si>
    <t>Feedback Transponder</t>
  </si>
  <si>
    <t>Ford Parts</t>
  </si>
  <si>
    <t>Front LH Door</t>
  </si>
  <si>
    <t>Front RH Door</t>
  </si>
  <si>
    <t>Fuel Cap/Flap</t>
  </si>
  <si>
    <t>Getting Rank</t>
  </si>
  <si>
    <t>Getting Tools</t>
  </si>
  <si>
    <t>Have</t>
  </si>
  <si>
    <t>Have any feedback on this vehicle?</t>
  </si>
  <si>
    <t>Have you confirmed your Email Address?</t>
  </si>
  <si>
    <t>Hex Number</t>
  </si>
  <si>
    <t>Hex to Binary</t>
  </si>
  <si>
    <t>Hide User Name</t>
  </si>
  <si>
    <t>Hint</t>
  </si>
  <si>
    <t>Hints</t>
  </si>
  <si>
    <t>Home</t>
  </si>
  <si>
    <t>I confirm the information I am submitting is my knowledge and my images</t>
  </si>
  <si>
    <t>If you have just updated LARA please use the Menu/Settings to enter your User Name and Password.</t>
  </si>
  <si>
    <t>If you are NEW to LARA then please select Menu/Registration to register your copy of LARA.</t>
  </si>
  <si>
    <t>Incorrect</t>
  </si>
  <si>
    <t>Info</t>
  </si>
  <si>
    <t>Is VIN Correct?</t>
  </si>
  <si>
    <t>Key</t>
  </si>
  <si>
    <t>Keyblank</t>
  </si>
  <si>
    <t>Keyway?</t>
  </si>
  <si>
    <t>Know your key machine to use the correct code</t>
  </si>
  <si>
    <t>Launch KeyDIY App</t>
  </si>
  <si>
    <t>Launch XHorse App</t>
  </si>
  <si>
    <t>LARA 12 Month Subscription</t>
  </si>
  <si>
    <t>LARA 6 Month Subscription</t>
  </si>
  <si>
    <t>LARA Bikes</t>
  </si>
  <si>
    <t>LARA Cars</t>
  </si>
  <si>
    <t>LARA Codes Online</t>
  </si>
  <si>
    <t>LARA Messages</t>
  </si>
  <si>
    <t>LARA Transponders</t>
  </si>
  <si>
    <t>LARA Trucks</t>
  </si>
  <si>
    <t>Let LARA Talk</t>
  </si>
  <si>
    <t>Like Facebook</t>
  </si>
  <si>
    <t>Long press clears all cuts entered!</t>
  </si>
  <si>
    <t>Find Codes</t>
  </si>
  <si>
    <t>Lishi Automotive</t>
  </si>
  <si>
    <t>Lishi Domestic</t>
  </si>
  <si>
    <t>Links</t>
  </si>
  <si>
    <t>Live Search</t>
  </si>
  <si>
    <t>Loading</t>
  </si>
  <si>
    <t>Log In</t>
  </si>
  <si>
    <t>Logged In</t>
  </si>
  <si>
    <t>Login Fail</t>
  </si>
  <si>
    <t>Login Failed.</t>
  </si>
  <si>
    <t>Login Unsuccessful - Not Found</t>
  </si>
  <si>
    <t>Login Unsuccessful - Server Error</t>
  </si>
  <si>
    <t>Login Successful - Welcome</t>
  </si>
  <si>
    <t>Login Success</t>
  </si>
  <si>
    <t>Manufacturer</t>
  </si>
  <si>
    <t>Measurement</t>
  </si>
  <si>
    <t>Message</t>
  </si>
  <si>
    <t>Messages</t>
  </si>
  <si>
    <t>Model</t>
  </si>
  <si>
    <t>New database</t>
  </si>
  <si>
    <t>New database available</t>
  </si>
  <si>
    <t>Newest Vehicles</t>
  </si>
  <si>
    <t>No</t>
  </si>
  <si>
    <t>No such code</t>
  </si>
  <si>
    <t>None</t>
  </si>
  <si>
    <t>Not Found</t>
  </si>
  <si>
    <t>Not Registered!</t>
  </si>
  <si>
    <t>OEM Remotes</t>
  </si>
  <si>
    <t>OK</t>
  </si>
  <si>
    <t>On Board Transponder Procedures</t>
  </si>
  <si>
    <t>Other Resources</t>
  </si>
  <si>
    <t>Password</t>
  </si>
  <si>
    <t>Permission</t>
  </si>
  <si>
    <t>PIN Calculator</t>
  </si>
  <si>
    <t>PIN/Hex Calc</t>
  </si>
  <si>
    <t>Please wait</t>
  </si>
  <si>
    <t>Please Enter User Name</t>
  </si>
  <si>
    <t>Please Enter Password</t>
  </si>
  <si>
    <t>Preferences</t>
  </si>
  <si>
    <t>Recent Activity</t>
  </si>
  <si>
    <t>Region (AU, EU, UK, US etc.)</t>
  </si>
  <si>
    <t>Register New Account</t>
  </si>
  <si>
    <t>Register</t>
  </si>
  <si>
    <t>Registration</t>
  </si>
  <si>
    <t>Remote</t>
  </si>
  <si>
    <t>Remote Procedures</t>
  </si>
  <si>
    <t>Reset Password</t>
  </si>
  <si>
    <t>Restore Tools</t>
  </si>
  <si>
    <t>Results</t>
  </si>
  <si>
    <t>Save/Upload</t>
  </si>
  <si>
    <t>Search</t>
  </si>
  <si>
    <t>Search All Makes</t>
  </si>
  <si>
    <t>Search Code</t>
  </si>
  <si>
    <t>Search Make/Keyway</t>
  </si>
  <si>
    <t>Search to ID vehicle</t>
  </si>
  <si>
    <t>Select the remote you used at the top of the screen</t>
  </si>
  <si>
    <t>Settings</t>
  </si>
  <si>
    <t>Server Not Found</t>
  </si>
  <si>
    <t>Start Type</t>
  </si>
  <si>
    <t>Sorry you have not registered or signed in properly</t>
  </si>
  <si>
    <t>Square</t>
  </si>
  <si>
    <t>Subject to how your code cutting mahine works will depend on what code you choose to use.</t>
  </si>
  <si>
    <t>Submit New Vehicle</t>
  </si>
  <si>
    <t>Subscription</t>
  </si>
  <si>
    <t>Success</t>
  </si>
  <si>
    <t>Tap here to download</t>
  </si>
  <si>
    <t>Tap on each chamber above to select the cuts to re-arrange</t>
  </si>
  <si>
    <t>This information did not work for me</t>
  </si>
  <si>
    <t>This information helped me</t>
  </si>
  <si>
    <t>Tools</t>
  </si>
  <si>
    <t>Tools Backed Up</t>
  </si>
  <si>
    <t>Tools Restored</t>
  </si>
  <si>
    <t>Transponder</t>
  </si>
  <si>
    <t>Transponders</t>
  </si>
  <si>
    <t>Transponder info</t>
  </si>
  <si>
    <t>Transponder Conversion Guide</t>
  </si>
  <si>
    <t>Toyota Parts</t>
  </si>
  <si>
    <t>Trucks</t>
  </si>
  <si>
    <t>Uh oh, NO match found!</t>
  </si>
  <si>
    <t>Update DB!</t>
  </si>
  <si>
    <t>Unable to draw this key</t>
  </si>
  <si>
    <t>User Feedback</t>
  </si>
  <si>
    <t>User Feedback Unavailable at this time</t>
  </si>
  <si>
    <t>User Name</t>
  </si>
  <si>
    <t>Vehicles</t>
  </si>
  <si>
    <t>Vehicles in LARA</t>
  </si>
  <si>
    <t>Vehicle Month/Year</t>
  </si>
  <si>
    <t>View Car Manufacturers</t>
  </si>
  <si>
    <t>Verifying Your Bitting</t>
  </si>
  <si>
    <t>VIN to PIN</t>
  </si>
  <si>
    <t>Want</t>
  </si>
  <si>
    <t>Welcome to</t>
  </si>
  <si>
    <t>Welcome</t>
  </si>
  <si>
    <t>Would you close LARA now?</t>
  </si>
  <si>
    <t>Would you like to register LARA now?</t>
  </si>
  <si>
    <t>Wrong User ID or Password!</t>
  </si>
  <si>
    <t>Yes</t>
  </si>
  <si>
    <t>You must enter all Cuts</t>
  </si>
  <si>
    <t>Your version of LARA needs updating to work</t>
  </si>
  <si>
    <t>An investment in knowledge always pays the best interest. So tell a friend about LARA</t>
  </si>
  <si>
    <t>Don’t be afraid to share what you know, because you know it better than anyone else!</t>
  </si>
  <si>
    <t>Everybody is smarter than anybody. So share a little today!</t>
  </si>
  <si>
    <t>Knowledge increases by sharing but not by saving.</t>
  </si>
  <si>
    <t>Knowledge is in groups — Not individuals.</t>
  </si>
  <si>
    <t>Knowledge shared is knowledge squared. So share some today!</t>
  </si>
  <si>
    <t>There is no one solution. Knowledge is always changing. Help us to stay up to date!</t>
  </si>
  <si>
    <t>We always know more than we can say, and we will always say more than we can write down. But give it a go!</t>
  </si>
  <si>
    <t>We have more Knowledge Together. Can you share something?</t>
  </si>
  <si>
    <t>RestoreErrorTitle</t>
  </si>
  <si>
    <t>Restore Failed</t>
  </si>
  <si>
    <t>RestoreErrorDescription</t>
  </si>
  <si>
    <t>No purchases found to restore</t>
  </si>
  <si>
    <t>RestoreSuccessTitle</t>
  </si>
  <si>
    <t>Recovery successful</t>
  </si>
  <si>
    <t>RestoreSuccessDescription</t>
  </si>
  <si>
    <t>Your purchases have been successfully restored"</t>
  </si>
  <si>
    <t>ProVersionExpired</t>
  </si>
  <si>
    <t>The Subscription has been canceled Or Not renewed, you are now using the limited version</t>
  </si>
  <si>
    <t>ProVersionExpiredTitle</t>
  </si>
  <si>
    <t>Subscription expired</t>
  </si>
  <si>
    <t>PurchaseErrorTitle</t>
  </si>
  <si>
    <t>Purchase failed.</t>
  </si>
  <si>
    <t>PurchaseErrorDescription</t>
  </si>
  <si>
    <t>Purchase was cancelled</t>
  </si>
  <si>
    <t>PurchaseSuccessTitle</t>
  </si>
  <si>
    <t>You are now ready to go</t>
  </si>
  <si>
    <t>PurchaseSuccessDescription</t>
  </si>
  <si>
    <t>Your purchase was successful.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</si>
</sst>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rgb="FF000000"/>
      <name val="Arial"/>
      <scheme val="minor"/>
    </font>
    <font>
      <b/>
      <sz val="10"/>
      <color theme="1"/>
      <name val="Arial"/>
    </font>
    <font>
      <sz val="10"/>
      <color theme="1"/>
      <name val="Arial"/>
    </font>
    <font>
      <sz val="10"/>
      <color theme="1"/>
      <name val="Arial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 applyAlignment="1">
      <alignment horizontal="center"/>
    </xf>
    <xf numFmtId="0" fontId="2" fillId="0" borderId="0" xfId="0" applyFont="1" applyAlignment="1">
      <alignment horizontal="left" vertical="top"/>
    </xf>
    <xf numFmtId="0" fontId="3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Y232"/>
  <sheetViews>
    <sheetView tabSelected="1" topLeftCell="A223" workbookViewId="0">
      <selection activeCell="A233" sqref="A233"/>
    </sheetView>
  </sheetViews>
  <sheetFormatPr defaultColWidth="12.5703125" defaultRowHeight="15.75" customHeight="1" x14ac:dyDescent="0.2"/>
  <cols>
    <col min="1" max="1" width="45.42578125" customWidth="1"/>
    <col min="2" max="2" width="23.42578125" customWidth="1"/>
    <col min="3" max="3" width="36.42578125" customWidth="1"/>
    <col min="4" max="25" width="23.42578125" customWidth="1"/>
  </cols>
  <sheetData>
    <row r="1" spans="1:2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25" x14ac:dyDescent="0.2">
      <c r="A2" s="2" t="s">
        <v>11</v>
      </c>
      <c r="B2" s="3" t="str">
        <f t="shared" ref="B2:B222" si="0">A2</f>
        <v>Hello</v>
      </c>
      <c r="C2" s="3" t="str">
        <f ca="1">IFERROR(__xludf.DUMMYFUNCTION("GOOGLETRANSLATE(A2,""en"",""es"")"),"Hola")</f>
        <v>Hola</v>
      </c>
      <c r="D2" s="3" t="str">
        <f ca="1">IFERROR(__xludf.DUMMYFUNCTION("GOOGLETRANSLATE(A2,""en"",""ca"")"),"hola")</f>
        <v>hola</v>
      </c>
      <c r="E2" s="3" t="str">
        <f ca="1">IFERROR(__xludf.DUMMYFUNCTION("GOOGLETRANSLATE(A2,""en"",""fr"")"),"Bonjour")</f>
        <v>Bonjour</v>
      </c>
      <c r="F2" s="3" t="str">
        <f ca="1">IFERROR(__xludf.DUMMYFUNCTION("GOOGLETRANSLATE(A2,""en"",""de"")"),"Hallo")</f>
        <v>Hallo</v>
      </c>
      <c r="G2" s="3" t="str">
        <f ca="1">IFERROR(__xludf.DUMMYFUNCTION("GOOGLETRANSLATE(A2,""en"",""it"")"),"Ciao")</f>
        <v>Ciao</v>
      </c>
      <c r="H2" s="3" t="str">
        <f ca="1">IFERROR(__xludf.DUMMYFUNCTION("GOOGLETRANSLATE(A2,""en"",""nl"")"),"Hallo")</f>
        <v>Hallo</v>
      </c>
      <c r="I2" s="3" t="str">
        <f ca="1">IFERROR(__xludf.DUMMYFUNCTION("GOOGLETRANSLATE(A2,""en"",""eu"")"),"Kaixo")</f>
        <v>Kaixo</v>
      </c>
      <c r="J2" s="3" t="str">
        <f ca="1">IFERROR(__xludf.DUMMYFUNCTION("GOOGLETRANSLATE(A2,""en"",""gl"")"),"Ola")</f>
        <v>Ola</v>
      </c>
      <c r="K2" s="3" t="str">
        <f ca="1">IFERROR(__xludf.DUMMYFUNCTION("GOOGLETRANSLATE(A2,""en"",""zh"")"),"你好")</f>
        <v>你好</v>
      </c>
    </row>
    <row r="3" spans="1:25" x14ac:dyDescent="0.2">
      <c r="A3" s="4" t="s">
        <v>12</v>
      </c>
      <c r="B3" s="3" t="str">
        <f t="shared" si="0"/>
        <v>10 Cut</v>
      </c>
      <c r="C3" s="3" t="str">
        <f ca="1">IFERROR(__xludf.DUMMYFUNCTION("GOOGLETRANSLATE(A3,""en"",""es"")"),"10 corte")</f>
        <v>10 corte</v>
      </c>
      <c r="D3" s="3" t="str">
        <f ca="1">IFERROR(__xludf.DUMMYFUNCTION("GOOGLETRANSLATE(A3,""en"",""ca"")"),"10 Tallar")</f>
        <v>10 Tallar</v>
      </c>
      <c r="E3" s="3" t="str">
        <f ca="1">IFERROR(__xludf.DUMMYFUNCTION("GOOGLETRANSLATE(A3,""en"",""fr"")"),"10 Coupe")</f>
        <v>10 Coupe</v>
      </c>
      <c r="F3" s="3" t="str">
        <f ca="1">IFERROR(__xludf.DUMMYFUNCTION("GOOGLETRANSLATE(A3,""en"",""de"")"),"10 Schnitt")</f>
        <v>10 Schnitt</v>
      </c>
      <c r="G3" s="3" t="str">
        <f ca="1">IFERROR(__xludf.DUMMYFUNCTION("GOOGLETRANSLATE(A3,""en"",""it"")"),"10 Taglia")</f>
        <v>10 Taglia</v>
      </c>
      <c r="H3" s="3" t="str">
        <f ca="1">IFERROR(__xludf.DUMMYFUNCTION("GOOGLETRANSLATE(A3,""en"",""nl"")"),"10 Knippen")</f>
        <v>10 Knippen</v>
      </c>
      <c r="I3" s="3" t="str">
        <f ca="1">IFERROR(__xludf.DUMMYFUNCTION("GOOGLETRANSLATE(A3,""en"",""eu"")"),"10 Ebaki")</f>
        <v>10 Ebaki</v>
      </c>
      <c r="J3" s="3" t="str">
        <f ca="1">IFERROR(__xludf.DUMMYFUNCTION("GOOGLETRANSLATE(A3,""en"",""gl"")"),"10 Corte")</f>
        <v>10 Corte</v>
      </c>
      <c r="K3" s="3" t="str">
        <f ca="1">IFERROR(__xludf.DUMMYFUNCTION("GOOGLETRANSLATE(A3,""en"",""zh"")"),"10 切")</f>
        <v>10 切</v>
      </c>
    </row>
    <row r="4" spans="1:25" x14ac:dyDescent="0.2">
      <c r="A4" s="4" t="s">
        <v>13</v>
      </c>
      <c r="B4" s="3" t="str">
        <f t="shared" si="0"/>
        <v>8 Cut</v>
      </c>
      <c r="C4" s="3" t="str">
        <f ca="1">IFERROR(__xludf.DUMMYFUNCTION("GOOGLETRANSLATE(A4,""en"",""es"")"),"8 corte")</f>
        <v>8 corte</v>
      </c>
      <c r="D4" s="3" t="str">
        <f ca="1">IFERROR(__xludf.DUMMYFUNCTION("GOOGLETRANSLATE(A4,""en"",""ca"")"),"8 Tallar")</f>
        <v>8 Tallar</v>
      </c>
      <c r="E4" s="3" t="str">
        <f ca="1">IFERROR(__xludf.DUMMYFUNCTION("GOOGLETRANSLATE(A4,""en"",""fr"")"),"8 Coupe")</f>
        <v>8 Coupe</v>
      </c>
      <c r="F4" s="3" t="str">
        <f ca="1">IFERROR(__xludf.DUMMYFUNCTION("GOOGLETRANSLATE(A4,""en"",""de"")"),"8 Schnitt")</f>
        <v>8 Schnitt</v>
      </c>
      <c r="G4" s="3" t="str">
        <f ca="1">IFERROR(__xludf.DUMMYFUNCTION("GOOGLETRANSLATE(A4,""en"",""it"")"),"8 Taglia")</f>
        <v>8 Taglia</v>
      </c>
      <c r="H4" s="3" t="str">
        <f ca="1">IFERROR(__xludf.DUMMYFUNCTION("GOOGLETRANSLATE(A4,""en"",""nl"")"),"8 Knippen")</f>
        <v>8 Knippen</v>
      </c>
      <c r="I4" s="3" t="str">
        <f ca="1">IFERROR(__xludf.DUMMYFUNCTION("GOOGLETRANSLATE(A4,""en"",""eu"")"),"8 Moztu")</f>
        <v>8 Moztu</v>
      </c>
      <c r="J4" s="3" t="str">
        <f ca="1">IFERROR(__xludf.DUMMYFUNCTION("GOOGLETRANSLATE(A4,""en"",""gl"")"),"8 Corte")</f>
        <v>8 Corte</v>
      </c>
      <c r="K4" s="3" t="str">
        <f ca="1">IFERROR(__xludf.DUMMYFUNCTION("GOOGLETRANSLATE(A4,""en"",""zh"")"),"8 切")</f>
        <v>8 切</v>
      </c>
    </row>
    <row r="5" spans="1:25" x14ac:dyDescent="0.2">
      <c r="A5" s="4" t="s">
        <v>14</v>
      </c>
      <c r="B5" s="3" t="str">
        <f t="shared" si="0"/>
        <v>About</v>
      </c>
      <c r="C5" s="3" t="str">
        <f ca="1">IFERROR(__xludf.DUMMYFUNCTION("GOOGLETRANSLATE(A5,""en"",""es"")"),"Acerca de")</f>
        <v>Acerca de</v>
      </c>
      <c r="D5" s="3" t="str">
        <f ca="1">IFERROR(__xludf.DUMMYFUNCTION("GOOGLETRANSLATE(A5,""en"",""ca"")"),"Sobre")</f>
        <v>Sobre</v>
      </c>
      <c r="E5" s="3" t="str">
        <f ca="1">IFERROR(__xludf.DUMMYFUNCTION("GOOGLETRANSLATE(A5,""en"",""fr"")"),"À propos")</f>
        <v>À propos</v>
      </c>
      <c r="F5" s="3" t="str">
        <f ca="1">IFERROR(__xludf.DUMMYFUNCTION("GOOGLETRANSLATE(A5,""en"",""de"")"),"Um")</f>
        <v>Um</v>
      </c>
      <c r="G5" s="3" t="str">
        <f ca="1">IFERROR(__xludf.DUMMYFUNCTION("GOOGLETRANSLATE(A5,""en"",""it"")"),"Di")</f>
        <v>Di</v>
      </c>
      <c r="H5" s="3" t="str">
        <f ca="1">IFERROR(__xludf.DUMMYFUNCTION("GOOGLETRANSLATE(A5,""en"",""nl"")"),"Over")</f>
        <v>Over</v>
      </c>
      <c r="I5" s="3" t="str">
        <f ca="1">IFERROR(__xludf.DUMMYFUNCTION("GOOGLETRANSLATE(A5,""en"",""eu"")"),"Buruz")</f>
        <v>Buruz</v>
      </c>
      <c r="J5" s="3" t="str">
        <f ca="1">IFERROR(__xludf.DUMMYFUNCTION("GOOGLETRANSLATE(A5,""en"",""gl"")"),"Sobre")</f>
        <v>Sobre</v>
      </c>
      <c r="K5" s="3" t="str">
        <f ca="1">IFERROR(__xludf.DUMMYFUNCTION("GOOGLETRANSLATE(A5,""en"",""zh"")"),"关于")</f>
        <v>关于</v>
      </c>
    </row>
    <row r="6" spans="1:25" x14ac:dyDescent="0.2">
      <c r="A6" s="4" t="s">
        <v>15</v>
      </c>
      <c r="B6" s="3" t="str">
        <f t="shared" si="0"/>
        <v>Access Required</v>
      </c>
      <c r="C6" s="3" t="str">
        <f ca="1">IFERROR(__xludf.DUMMYFUNCTION("GOOGLETRANSLATE(A6,""en"",""es"")"),"Acceso requerido")</f>
        <v>Acceso requerido</v>
      </c>
      <c r="D6" s="3" t="str">
        <f ca="1">IFERROR(__xludf.DUMMYFUNCTION("GOOGLETRANSLATE(A6,""en"",""ca"")"),"Accés obligatori")</f>
        <v>Accés obligatori</v>
      </c>
      <c r="E6" s="3" t="str">
        <f ca="1">IFERROR(__xludf.DUMMYFUNCTION("GOOGLETRANSLATE(A6,""en"",""fr"")"),"Accès requis")</f>
        <v>Accès requis</v>
      </c>
      <c r="F6" s="3" t="str">
        <f ca="1">IFERROR(__xludf.DUMMYFUNCTION("GOOGLETRANSLATE(A6,""en"",""de"")"),"Zugriff erforderlich")</f>
        <v>Zugriff erforderlich</v>
      </c>
      <c r="G6" s="3" t="str">
        <f ca="1">IFERROR(__xludf.DUMMYFUNCTION("GOOGLETRANSLATE(A6,""en"",""it"")"),"Accesso richiesto")</f>
        <v>Accesso richiesto</v>
      </c>
      <c r="H6" s="3" t="str">
        <f ca="1">IFERROR(__xludf.DUMMYFUNCTION("GOOGLETRANSLATE(A6,""en"",""nl"")"),"Toegang vereist")</f>
        <v>Toegang vereist</v>
      </c>
      <c r="I6" s="3" t="str">
        <f ca="1">IFERROR(__xludf.DUMMYFUNCTION("GOOGLETRANSLATE(A6,""en"",""eu"")"),"Sarbidea Beharrezkoa")</f>
        <v>Sarbidea Beharrezkoa</v>
      </c>
      <c r="J6" s="3" t="str">
        <f ca="1">IFERROR(__xludf.DUMMYFUNCTION("GOOGLETRANSLATE(A6,""en"",""gl"")"),"Acceso necesario")</f>
        <v>Acceso necesario</v>
      </c>
      <c r="K6" s="3" t="str">
        <f ca="1">IFERROR(__xludf.DUMMYFUNCTION("GOOGLETRANSLATE(A6,""en"",""zh"")"),"需要访问")</f>
        <v>需要访问</v>
      </c>
    </row>
    <row r="7" spans="1:25" x14ac:dyDescent="0.2">
      <c r="A7" s="4" t="s">
        <v>16</v>
      </c>
      <c r="B7" s="3" t="str">
        <f t="shared" si="0"/>
        <v>Active</v>
      </c>
      <c r="C7" s="3" t="str">
        <f ca="1">IFERROR(__xludf.DUMMYFUNCTION("GOOGLETRANSLATE(A7,""en"",""es"")"),"Activo")</f>
        <v>Activo</v>
      </c>
      <c r="D7" s="3" t="str">
        <f ca="1">IFERROR(__xludf.DUMMYFUNCTION("GOOGLETRANSLATE(A7,""en"",""ca"")"),"Actius")</f>
        <v>Actius</v>
      </c>
      <c r="E7" s="3" t="str">
        <f ca="1">IFERROR(__xludf.DUMMYFUNCTION("GOOGLETRANSLATE(A7,""en"",""fr"")"),"Actif")</f>
        <v>Actif</v>
      </c>
      <c r="F7" s="3" t="str">
        <f ca="1">IFERROR(__xludf.DUMMYFUNCTION("GOOGLETRANSLATE(A7,""en"",""de"")"),"Aktiv")</f>
        <v>Aktiv</v>
      </c>
      <c r="G7" s="3" t="str">
        <f ca="1">IFERROR(__xludf.DUMMYFUNCTION("GOOGLETRANSLATE(A7,""en"",""it"")"),"Attivo")</f>
        <v>Attivo</v>
      </c>
      <c r="H7" s="3" t="str">
        <f ca="1">IFERROR(__xludf.DUMMYFUNCTION("GOOGLETRANSLATE(A7,""en"",""nl"")"),"Actief")</f>
        <v>Actief</v>
      </c>
      <c r="I7" s="3" t="str">
        <f ca="1">IFERROR(__xludf.DUMMYFUNCTION("GOOGLETRANSLATE(A7,""en"",""eu"")"),"Aktiboa")</f>
        <v>Aktiboa</v>
      </c>
      <c r="J7" s="3" t="str">
        <f ca="1">IFERROR(__xludf.DUMMYFUNCTION("GOOGLETRANSLATE(A7,""en"",""gl"")"),"Activo")</f>
        <v>Activo</v>
      </c>
      <c r="K7" s="3" t="str">
        <f ca="1">IFERROR(__xludf.DUMMYFUNCTION("GOOGLETRANSLATE(A7,""en"",""zh"")"),"积极的")</f>
        <v>积极的</v>
      </c>
    </row>
    <row r="8" spans="1:25" x14ac:dyDescent="0.2">
      <c r="A8" s="4" t="s">
        <v>17</v>
      </c>
      <c r="B8" s="3" t="str">
        <f t="shared" si="0"/>
        <v>Add New Vehicle!</v>
      </c>
      <c r="C8" s="3" t="str">
        <f ca="1">IFERROR(__xludf.DUMMYFUNCTION("GOOGLETRANSLATE(A8,""en"",""es"")"),"¡Agregue vehículo nuevo!")</f>
        <v>¡Agregue vehículo nuevo!</v>
      </c>
      <c r="D8" s="3" t="str">
        <f ca="1">IFERROR(__xludf.DUMMYFUNCTION("GOOGLETRANSLATE(A8,""en"",""ca"")"),"Afegeix un vehicle nou!")</f>
        <v>Afegeix un vehicle nou!</v>
      </c>
      <c r="E8" s="3" t="str">
        <f ca="1">IFERROR(__xludf.DUMMYFUNCTION("GOOGLETRANSLATE(A8,""en"",""fr"")"),"Ajoutez un nouveau véhicule !")</f>
        <v>Ajoutez un nouveau véhicule !</v>
      </c>
      <c r="F8" s="3" t="str">
        <f ca="1">IFERROR(__xludf.DUMMYFUNCTION("GOOGLETRANSLATE(A8,""en"",""de"")"),"Neues Fahrzeug hinzufügen!")</f>
        <v>Neues Fahrzeug hinzufügen!</v>
      </c>
      <c r="G8" s="3" t="str">
        <f ca="1">IFERROR(__xludf.DUMMYFUNCTION("GOOGLETRANSLATE(A8,""en"",""it"")"),"Aggiungi nuovo veicolo!")</f>
        <v>Aggiungi nuovo veicolo!</v>
      </c>
      <c r="H8" s="3" t="str">
        <f ca="1">IFERROR(__xludf.DUMMYFUNCTION("GOOGLETRANSLATE(A8,""en"",""nl"")"),"Nieuw voertuig toevoegen!")</f>
        <v>Nieuw voertuig toevoegen!</v>
      </c>
      <c r="I8" s="3" t="str">
        <f ca="1">IFERROR(__xludf.DUMMYFUNCTION("GOOGLETRANSLATE(A8,""en"",""eu"")"),"Gehitu ibilgailu berria!")</f>
        <v>Gehitu ibilgailu berria!</v>
      </c>
      <c r="J8" s="3" t="str">
        <f ca="1">IFERROR(__xludf.DUMMYFUNCTION("GOOGLETRANSLATE(A8,""en"",""gl"")"),"Engadir un novo vehículo!")</f>
        <v>Engadir un novo vehículo!</v>
      </c>
      <c r="K8" s="3" t="str">
        <f ca="1">IFERROR(__xludf.DUMMYFUNCTION("GOOGLETRANSLATE(A8,""en"",""zh"")"),"添加新车辆！")</f>
        <v>添加新车辆！</v>
      </c>
    </row>
    <row r="9" spans="1:25" x14ac:dyDescent="0.2">
      <c r="A9" s="4" t="s">
        <v>18</v>
      </c>
      <c r="B9" s="3" t="str">
        <f t="shared" si="0"/>
        <v>All done no messages</v>
      </c>
      <c r="C9" s="3" t="str">
        <f ca="1">IFERROR(__xludf.DUMMYFUNCTION("GOOGLETRANSLATE(A9,""en"",""es"")"),"Todo hecho sin mensajes")</f>
        <v>Todo hecho sin mensajes</v>
      </c>
      <c r="D9" s="3" t="str">
        <f ca="1">IFERROR(__xludf.DUMMYFUNCTION("GOOGLETRANSLATE(A9,""en"",""ca"")"),"Tot fet sense missatges")</f>
        <v>Tot fet sense missatges</v>
      </c>
      <c r="E9" s="3" t="str">
        <f ca="1">IFERROR(__xludf.DUMMYFUNCTION("GOOGLETRANSLATE(A9,""en"",""fr"")"),"Tout est fait, pas de messages")</f>
        <v>Tout est fait, pas de messages</v>
      </c>
      <c r="F9" s="3" t="str">
        <f ca="1">IFERROR(__xludf.DUMMYFUNCTION("GOOGLETRANSLATE(A9,""en"",""de"")"),"Alles erledigt, keine Nachrichten")</f>
        <v>Alles erledigt, keine Nachrichten</v>
      </c>
      <c r="G9" s="3" t="str">
        <f ca="1">IFERROR(__xludf.DUMMYFUNCTION("GOOGLETRANSLATE(A9,""en"",""it"")"),"Tutto fatto senza messaggi")</f>
        <v>Tutto fatto senza messaggi</v>
      </c>
      <c r="H9" s="3" t="str">
        <f ca="1">IFERROR(__xludf.DUMMYFUNCTION("GOOGLETRANSLATE(A9,""en"",""nl"")"),"Alles gedaan, geen berichten")</f>
        <v>Alles gedaan, geen berichten</v>
      </c>
      <c r="I9" s="3" t="str">
        <f ca="1">IFERROR(__xludf.DUMMYFUNCTION("GOOGLETRANSLATE(A9,""en"",""eu"")"),"Guztiak egin gabe mezurik")</f>
        <v>Guztiak egin gabe mezurik</v>
      </c>
      <c r="J9" s="3" t="str">
        <f ca="1">IFERROR(__xludf.DUMMYFUNCTION("GOOGLETRANSLATE(A9,""en"",""gl"")"),"Todo feito sen mensaxes")</f>
        <v>Todo feito sen mensaxes</v>
      </c>
      <c r="K9" s="3" t="str">
        <f ca="1">IFERROR(__xludf.DUMMYFUNCTION("GOOGLETRANSLATE(A9,""en"",""zh"")"),"全部完成没有消息")</f>
        <v>全部完成没有消息</v>
      </c>
    </row>
    <row r="10" spans="1:25" x14ac:dyDescent="0.2">
      <c r="A10" s="4" t="s">
        <v>19</v>
      </c>
      <c r="B10" s="3" t="str">
        <f t="shared" si="0"/>
        <v>Allow Online Access</v>
      </c>
      <c r="C10" s="3" t="str">
        <f ca="1">IFERROR(__xludf.DUMMYFUNCTION("GOOGLETRANSLATE(A10,""en"",""es"")"),"Permitir acceso en línea")</f>
        <v>Permitir acceso en línea</v>
      </c>
      <c r="D10" s="3" t="str">
        <f ca="1">IFERROR(__xludf.DUMMYFUNCTION("GOOGLETRANSLATE(A10,""en"",""ca"")"),"Permet l'accés en línia")</f>
        <v>Permet l'accés en línia</v>
      </c>
      <c r="E10" s="3" t="str">
        <f ca="1">IFERROR(__xludf.DUMMYFUNCTION("GOOGLETRANSLATE(A10,""en"",""fr"")"),"Autoriser l'accès en ligne")</f>
        <v>Autoriser l'accès en ligne</v>
      </c>
      <c r="F10" s="3" t="str">
        <f ca="1">IFERROR(__xludf.DUMMYFUNCTION("GOOGLETRANSLATE(A10,""en"",""de"")"),"Online-Zugriff zulassen")</f>
        <v>Online-Zugriff zulassen</v>
      </c>
      <c r="G10" s="3" t="str">
        <f ca="1">IFERROR(__xludf.DUMMYFUNCTION("GOOGLETRANSLATE(A10,""en"",""it"")"),"Consenti accesso in linea")</f>
        <v>Consenti accesso in linea</v>
      </c>
      <c r="H10" s="3" t="str">
        <f ca="1">IFERROR(__xludf.DUMMYFUNCTION("GOOGLETRANSLATE(A10,""en"",""nl"")"),"Online toegang toestaan")</f>
        <v>Online toegang toestaan</v>
      </c>
      <c r="I10" s="3" t="str">
        <f ca="1">IFERROR(__xludf.DUMMYFUNCTION("GOOGLETRANSLATE(A10,""en"",""eu"")"),"Baimendu lineako sarbidea")</f>
        <v>Baimendu lineako sarbidea</v>
      </c>
      <c r="J10" s="3" t="str">
        <f ca="1">IFERROR(__xludf.DUMMYFUNCTION("GOOGLETRANSLATE(A10,""en"",""gl"")"),"Permitir o acceso en liña")</f>
        <v>Permitir o acceso en liña</v>
      </c>
      <c r="K10" s="3" t="str">
        <f ca="1">IFERROR(__xludf.DUMMYFUNCTION("GOOGLETRANSLATE(A10,""en"",""zh"")"),"允许在线访问")</f>
        <v>允许在线访问</v>
      </c>
    </row>
    <row r="11" spans="1:25" x14ac:dyDescent="0.2">
      <c r="A11" s="4" t="s">
        <v>20</v>
      </c>
      <c r="B11" s="3" t="str">
        <f t="shared" si="0"/>
        <v>Allow the app to access Do Not Disturb mode.</v>
      </c>
      <c r="C11" s="3" t="str">
        <f ca="1">IFERROR(__xludf.DUMMYFUNCTION("GOOGLETRANSLATE(A11,""en"",""es"")"),"Permita que la aplicación acceda al modo No molestar.")</f>
        <v>Permita que la aplicación acceda al modo No molestar.</v>
      </c>
      <c r="D11" s="3" t="str">
        <f ca="1">IFERROR(__xludf.DUMMYFUNCTION("GOOGLETRANSLATE(A11,""en"",""ca"")"),"Permet que l'aplicació accedeixi al mode No Molestis.")</f>
        <v>Permet que l'aplicació accedeixi al mode No Molestis.</v>
      </c>
      <c r="E11" s="3" t="str">
        <f ca="1">IFERROR(__xludf.DUMMYFUNCTION("GOOGLETRANSLATE(A11,""en"",""fr"")"),"Autorisez l'application à accéder au mode Ne pas déranger.")</f>
        <v>Autorisez l'application à accéder au mode Ne pas déranger.</v>
      </c>
      <c r="F11" s="3" t="str">
        <f ca="1">IFERROR(__xludf.DUMMYFUNCTION("GOOGLETRANSLATE(A11,""en"",""de"")"),"Erlauben Sie der App, auf den Modus „Nicht stören“ zuzugreifen.")</f>
        <v>Erlauben Sie der App, auf den Modus „Nicht stören“ zuzugreifen.</v>
      </c>
      <c r="G11" s="3" t="str">
        <f ca="1">IFERROR(__xludf.DUMMYFUNCTION("GOOGLETRANSLATE(A11,""en"",""it"")"),"Consenti all'app di accedere alla modalità Non disturbare.")</f>
        <v>Consenti all'app di accedere alla modalità Non disturbare.</v>
      </c>
      <c r="H11" s="3" t="str">
        <f ca="1">IFERROR(__xludf.DUMMYFUNCTION("GOOGLETRANSLATE(A11,""en"",""nl"")"),"Geef de app toegang tot de modus Niet storen.")</f>
        <v>Geef de app toegang tot de modus Niet storen.</v>
      </c>
      <c r="I11" s="3" t="str">
        <f ca="1">IFERROR(__xludf.DUMMYFUNCTION("GOOGLETRANSLATE(A11,""en"",""eu"")"),"Eman aplikazioari Ez molestatu modura sartzeko.")</f>
        <v>Eman aplikazioari Ez molestatu modura sartzeko.</v>
      </c>
      <c r="J11" s="3" t="str">
        <f ca="1">IFERROR(__xludf.DUMMYFUNCTION("GOOGLETRANSLATE(A11,""en"",""gl"")"),"Permite que a aplicación acceda ao modo Non molestar.")</f>
        <v>Permite que a aplicación acceda ao modo Non molestar.</v>
      </c>
      <c r="K11" s="3" t="str">
        <f ca="1">IFERROR(__xludf.DUMMYFUNCTION("GOOGLETRANSLATE(A11,""en"",""zh"")"),"允许应用程序访问请勿打扰模式。")</f>
        <v>允许应用程序访问请勿打扰模式。</v>
      </c>
    </row>
    <row r="12" spans="1:25" x14ac:dyDescent="0.2">
      <c r="A12" s="4" t="s">
        <v>21</v>
      </c>
      <c r="B12" s="3" t="str">
        <f t="shared" si="0"/>
        <v>and I own all rights, and therefore grant LARA App permission to use this knowledge and images within the LARA App.</v>
      </c>
      <c r="C12" s="3" t="str">
        <f ca="1">IFERROR(__xludf.DUMMYFUNCTION("GOOGLETRANSLATE(A12,""en"",""es"")"),"y soy propietario de todos los derechos y, por lo tanto, otorgo permiso a la aplicación LARA para usar este conocimiento e imágenes dentro de la aplicación LARA.")</f>
        <v>y soy propietario de todos los derechos y, por lo tanto, otorgo permiso a la aplicación LARA para usar este conocimiento e imágenes dentro de la aplicación LARA.</v>
      </c>
      <c r="D12" s="3" t="str">
        <f ca="1">IFERROR(__xludf.DUMMYFUNCTION("GOOGLETRANSLATE(A12,""en"",""ca"")"),"i sóc propietari de tots els drets i, per tant, concedeixo permís a l'aplicació LARA per utilitzar aquests coneixements i imatges dins de l'aplicació LARA.")</f>
        <v>i sóc propietari de tots els drets i, per tant, concedeixo permís a l'aplicació LARA per utilitzar aquests coneixements i imatges dins de l'aplicació LARA.</v>
      </c>
      <c r="E12" s="3" t="str">
        <f ca="1">IFERROR(__xludf.DUMMYFUNCTION("GOOGLETRANSLATE(A12,""en"",""fr"")"),"et je possède tous les droits, et j'autorise donc l'application LARA à utiliser ces connaissances et ces images au sein de l'application LARA.")</f>
        <v>et je possède tous les droits, et j'autorise donc l'application LARA à utiliser ces connaissances et ces images au sein de l'application LARA.</v>
      </c>
      <c r="F12" s="3" t="str">
        <f ca="1">IFERROR(__xludf.DUMMYFUNCTION("GOOGLETRANSLATE(A12,""en"",""de"")"),"und ich besitze alle Rechte und erteile der LARA-App daher die Erlaubnis, dieses Wissen und diese Bilder innerhalb der LARA-App zu verwenden.")</f>
        <v>und ich besitze alle Rechte und erteile der LARA-App daher die Erlaubnis, dieses Wissen und diese Bilder innerhalb der LARA-App zu verwenden.</v>
      </c>
      <c r="G12" s="3" t="str">
        <f ca="1">IFERROR(__xludf.DUMMYFUNCTION("GOOGLETRANSLATE(A12,""en"",""it"")"),"e possiedo tutti i diritti, e pertanto concedo all'App LARA il permesso di utilizzare queste conoscenze e immagini all'interno dell'App LARA.")</f>
        <v>e possiedo tutti i diritti, e pertanto concedo all'App LARA il permesso di utilizzare queste conoscenze e immagini all'interno dell'App LARA.</v>
      </c>
      <c r="H12" s="3" t="str">
        <f ca="1">IFERROR(__xludf.DUMMYFUNCTION("GOOGLETRANSLATE(A12,""en"",""nl"")"),"en ik bezit alle rechten, en verleen daarom de LARA App toestemming om deze kennis en beelden te gebruiken binnen de LARA App.")</f>
        <v>en ik bezit alle rechten, en verleen daarom de LARA App toestemming om deze kennis en beelden te gebruiken binnen de LARA App.</v>
      </c>
      <c r="I12" s="3" t="str">
        <f ca="1">IFERROR(__xludf.DUMMYFUNCTION("GOOGLETRANSLATE(A12,""en"",""eu"")"),"eta eskubide guztien jabe naiz, eta, beraz, LARA aplikazioari baimena ematen diot ezagutza eta irudi hauek LARA aplikazioaren barruan erabiltzeko.")</f>
        <v>eta eskubide guztien jabe naiz, eta, beraz, LARA aplikazioari baimena ematen diot ezagutza eta irudi hauek LARA aplikazioaren barruan erabiltzeko.</v>
      </c>
      <c r="J12" s="3" t="str">
        <f ca="1">IFERROR(__xludf.DUMMYFUNCTION("GOOGLETRANSLATE(A12,""en"",""gl"")"),"e son propietario de todos os dereitos e, polo tanto, dou permiso á aplicación LARA para usar este coñecemento e imaxes dentro da aplicación LARA.")</f>
        <v>e son propietario de todos os dereitos e, polo tanto, dou permiso á aplicación LARA para usar este coñecemento e imaxes dentro da aplicación LARA.</v>
      </c>
      <c r="K12" s="3" t="str">
        <f ca="1">IFERROR(__xludf.DUMMYFUNCTION("GOOGLETRANSLATE(A12,""en"",""zh"")"),"我拥有所有权利，因此授予 LARA 应用程序在 LARA 应用程序中使用这些知识和图像的权限。")</f>
        <v>我拥有所有权利，因此授予 LARA 应用程序在 LARA 应用程序中使用这些知识和图像的权限。</v>
      </c>
    </row>
    <row r="13" spans="1:25" x14ac:dyDescent="0.2">
      <c r="A13" s="4" t="s">
        <v>22</v>
      </c>
      <c r="B13" s="3" t="str">
        <f t="shared" si="0"/>
        <v>Assist</v>
      </c>
      <c r="C13" s="3" t="str">
        <f ca="1">IFERROR(__xludf.DUMMYFUNCTION("GOOGLETRANSLATE(A13,""en"",""es"")"),"Asistir")</f>
        <v>Asistir</v>
      </c>
      <c r="D13" s="3" t="str">
        <f ca="1">IFERROR(__xludf.DUMMYFUNCTION("GOOGLETRANSLATE(A13,""en"",""ca"")"),"Assistència")</f>
        <v>Assistència</v>
      </c>
      <c r="E13" s="3" t="str">
        <f ca="1">IFERROR(__xludf.DUMMYFUNCTION("GOOGLETRANSLATE(A13,""en"",""fr"")"),"Assister")</f>
        <v>Assister</v>
      </c>
      <c r="F13" s="3" t="str">
        <f ca="1">IFERROR(__xludf.DUMMYFUNCTION("GOOGLETRANSLATE(A13,""en"",""de"")"),"Helfen")</f>
        <v>Helfen</v>
      </c>
      <c r="G13" s="3" t="str">
        <f ca="1">IFERROR(__xludf.DUMMYFUNCTION("GOOGLETRANSLATE(A13,""en"",""it"")"),"Assistere")</f>
        <v>Assistere</v>
      </c>
      <c r="H13" s="3" t="str">
        <f ca="1">IFERROR(__xludf.DUMMYFUNCTION("GOOGLETRANSLATE(A13,""en"",""nl"")"),"Helpen")</f>
        <v>Helpen</v>
      </c>
      <c r="I13" s="3" t="str">
        <f ca="1">IFERROR(__xludf.DUMMYFUNCTION("GOOGLETRANSLATE(A13,""en"",""eu"")"),"Lagundu")</f>
        <v>Lagundu</v>
      </c>
      <c r="J13" s="3" t="str">
        <f ca="1">IFERROR(__xludf.DUMMYFUNCTION("GOOGLETRANSLATE(A13,""en"",""gl"")"),"Asistir")</f>
        <v>Asistir</v>
      </c>
      <c r="K13" s="3" t="str">
        <f ca="1">IFERROR(__xludf.DUMMYFUNCTION("GOOGLETRANSLATE(A13,""en"",""zh"")"),"协助")</f>
        <v>协助</v>
      </c>
    </row>
    <row r="14" spans="1:25" x14ac:dyDescent="0.2">
      <c r="A14" s="4" t="s">
        <v>23</v>
      </c>
      <c r="B14" s="4" t="str">
        <f t="shared" si="0"/>
        <v>Auto Search</v>
      </c>
      <c r="C14" s="4" t="str">
        <f ca="1">IFERROR(__xludf.DUMMYFUNCTION("GOOGLETRANSLATE(A14,""en"",""es"")"),"Búsqueda automática")</f>
        <v>Búsqueda automática</v>
      </c>
      <c r="D14" s="4" t="str">
        <f ca="1">IFERROR(__xludf.DUMMYFUNCTION("GOOGLETRANSLATE(A14,""en"",""ca"")"),"Cerca automàtica")</f>
        <v>Cerca automàtica</v>
      </c>
      <c r="E14" s="4" t="str">
        <f ca="1">IFERROR(__xludf.DUMMYFUNCTION("GOOGLETRANSLATE(A14,""en"",""fr"")"),"Recherche automatique")</f>
        <v>Recherche automatique</v>
      </c>
      <c r="F14" s="4" t="str">
        <f ca="1">IFERROR(__xludf.DUMMYFUNCTION("GOOGLETRANSLATE(A14,""en"",""de"")"),"Automatische Suche")</f>
        <v>Automatische Suche</v>
      </c>
      <c r="G14" s="4" t="str">
        <f ca="1">IFERROR(__xludf.DUMMYFUNCTION("GOOGLETRANSLATE(A14,""en"",""it"")"),"Ricerca automatica")</f>
        <v>Ricerca automatica</v>
      </c>
      <c r="H14" s="4" t="str">
        <f ca="1">IFERROR(__xludf.DUMMYFUNCTION("GOOGLETRANSLATE(A14,""en"",""nl"")"),"Automatisch zoeken")</f>
        <v>Automatisch zoeken</v>
      </c>
      <c r="I14" s="4" t="str">
        <f ca="1">IFERROR(__xludf.DUMMYFUNCTION("GOOGLETRANSLATE(A14,""en"",""eu"")"),"Bilaketa automatikoa")</f>
        <v>Bilaketa automatikoa</v>
      </c>
      <c r="J14" s="4" t="str">
        <f ca="1">IFERROR(__xludf.DUMMYFUNCTION("GOOGLETRANSLATE(A14,""en"",""gl"")"),"Busca automática")</f>
        <v>Busca automática</v>
      </c>
      <c r="K14" s="4" t="str">
        <f ca="1">IFERROR(__xludf.DUMMYFUNCTION("GOOGLETRANSLATE(A14,""en"",""zh"")"),"自动搜索")</f>
        <v>自动搜索</v>
      </c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</row>
    <row r="15" spans="1:25" x14ac:dyDescent="0.2">
      <c r="A15" s="4" t="s">
        <v>24</v>
      </c>
      <c r="B15" s="3" t="str">
        <f t="shared" si="0"/>
        <v>Backup Tools</v>
      </c>
      <c r="C15" s="3" t="str">
        <f ca="1">IFERROR(__xludf.DUMMYFUNCTION("GOOGLETRANSLATE(A15,""en"",""es"")"),"Herramientas de copia de seguridad")</f>
        <v>Herramientas de copia de seguridad</v>
      </c>
      <c r="D15" s="3" t="str">
        <f ca="1">IFERROR(__xludf.DUMMYFUNCTION("GOOGLETRANSLATE(A15,""en"",""ca"")"),"Eines de còpia de seguretat")</f>
        <v>Eines de còpia de seguretat</v>
      </c>
      <c r="E15" s="3" t="str">
        <f ca="1">IFERROR(__xludf.DUMMYFUNCTION("GOOGLETRANSLATE(A15,""en"",""fr"")"),"Outils de sauvegarde")</f>
        <v>Outils de sauvegarde</v>
      </c>
      <c r="F15" s="3" t="str">
        <f ca="1">IFERROR(__xludf.DUMMYFUNCTION("GOOGLETRANSLATE(A15,""en"",""de"")"),"Backup-Tools")</f>
        <v>Backup-Tools</v>
      </c>
      <c r="G15" s="3" t="str">
        <f ca="1">IFERROR(__xludf.DUMMYFUNCTION("GOOGLETRANSLATE(A15,""en"",""it"")"),"Strumenti di backup")</f>
        <v>Strumenti di backup</v>
      </c>
      <c r="H15" s="3" t="str">
        <f ca="1">IFERROR(__xludf.DUMMYFUNCTION("GOOGLETRANSLATE(A15,""en"",""nl"")"),"Back-uphulpmiddelen")</f>
        <v>Back-uphulpmiddelen</v>
      </c>
      <c r="I15" s="3" t="str">
        <f ca="1">IFERROR(__xludf.DUMMYFUNCTION("GOOGLETRANSLATE(A15,""en"",""eu"")"),"Babeskopia tresnak")</f>
        <v>Babeskopia tresnak</v>
      </c>
      <c r="J15" s="3" t="str">
        <f ca="1">IFERROR(__xludf.DUMMYFUNCTION("GOOGLETRANSLATE(A15,""en"",""gl"")"),"Ferramentas de copia de seguridade")</f>
        <v>Ferramentas de copia de seguridade</v>
      </c>
      <c r="K15" s="3" t="str">
        <f ca="1">IFERROR(__xludf.DUMMYFUNCTION("GOOGLETRANSLATE(A15,""en"",""zh"")"),"备份工具")</f>
        <v>备份工具</v>
      </c>
    </row>
    <row r="16" spans="1:25" x14ac:dyDescent="0.2">
      <c r="A16" s="4" t="s">
        <v>25</v>
      </c>
      <c r="B16" s="3" t="str">
        <f t="shared" si="0"/>
        <v>Bikes</v>
      </c>
      <c r="C16" s="3" t="str">
        <f ca="1">IFERROR(__xludf.DUMMYFUNCTION("GOOGLETRANSLATE(A16,""en"",""es"")"),"bicicletas")</f>
        <v>bicicletas</v>
      </c>
      <c r="D16" s="3" t="str">
        <f ca="1">IFERROR(__xludf.DUMMYFUNCTION("GOOGLETRANSLATE(A16,""en"",""ca"")"),"Bicicletes")</f>
        <v>Bicicletes</v>
      </c>
      <c r="E16" s="3" t="str">
        <f ca="1">IFERROR(__xludf.DUMMYFUNCTION("GOOGLETRANSLATE(A16,""en"",""fr"")"),"Vélos")</f>
        <v>Vélos</v>
      </c>
      <c r="F16" s="3" t="str">
        <f ca="1">IFERROR(__xludf.DUMMYFUNCTION("GOOGLETRANSLATE(A16,""en"",""de"")"),"Fahrräder")</f>
        <v>Fahrräder</v>
      </c>
      <c r="G16" s="3" t="str">
        <f ca="1">IFERROR(__xludf.DUMMYFUNCTION("GOOGLETRANSLATE(A16,""en"",""it"")"),"Biciclette")</f>
        <v>Biciclette</v>
      </c>
      <c r="H16" s="3" t="str">
        <f ca="1">IFERROR(__xludf.DUMMYFUNCTION("GOOGLETRANSLATE(A16,""en"",""nl"")"),"Fietsen")</f>
        <v>Fietsen</v>
      </c>
      <c r="I16" s="3" t="str">
        <f ca="1">IFERROR(__xludf.DUMMYFUNCTION("GOOGLETRANSLATE(A16,""en"",""eu"")"),"Bizikletak")</f>
        <v>Bizikletak</v>
      </c>
      <c r="J16" s="3" t="str">
        <f ca="1">IFERROR(__xludf.DUMMYFUNCTION("GOOGLETRANSLATE(A16,""en"",""gl"")"),"Bicicletas")</f>
        <v>Bicicletas</v>
      </c>
      <c r="K16" s="3" t="str">
        <f ca="1">IFERROR(__xludf.DUMMYFUNCTION("GOOGLETRANSLATE(A16,""en"",""zh"")"),"自行车")</f>
        <v>自行车</v>
      </c>
    </row>
    <row r="17" spans="1:25" x14ac:dyDescent="0.2">
      <c r="A17" s="4" t="s">
        <v>26</v>
      </c>
      <c r="B17" s="3" t="str">
        <f t="shared" si="0"/>
        <v>BIN Resources</v>
      </c>
      <c r="C17" s="3" t="str">
        <f ca="1">IFERROR(__xludf.DUMMYFUNCTION("GOOGLETRANSLATE(A17,""en"",""es"")"),"Recursos BIN")</f>
        <v>Recursos BIN</v>
      </c>
      <c r="D17" s="3" t="str">
        <f ca="1">IFERROR(__xludf.DUMMYFUNCTION("GOOGLETRANSLATE(A17,""en"",""ca"")"),"Recursos BIN")</f>
        <v>Recursos BIN</v>
      </c>
      <c r="E17" s="3" t="str">
        <f ca="1">IFERROR(__xludf.DUMMYFUNCTION("GOOGLETRANSLATE(A17,""en"",""fr"")"),"Ressources BIN")</f>
        <v>Ressources BIN</v>
      </c>
      <c r="F17" s="3" t="str">
        <f ca="1">IFERROR(__xludf.DUMMYFUNCTION("GOOGLETRANSLATE(A17,""en"",""de"")"),"BIN-Ressourcen")</f>
        <v>BIN-Ressourcen</v>
      </c>
      <c r="G17" s="3" t="str">
        <f ca="1">IFERROR(__xludf.DUMMYFUNCTION("GOOGLETRANSLATE(A17,""en"",""it"")"),"Risorse BIN")</f>
        <v>Risorse BIN</v>
      </c>
      <c r="H17" s="3" t="str">
        <f ca="1">IFERROR(__xludf.DUMMYFUNCTION("GOOGLETRANSLATE(A17,""en"",""nl"")"),"BIN-bronnen")</f>
        <v>BIN-bronnen</v>
      </c>
      <c r="I17" s="3" t="str">
        <f ca="1">IFERROR(__xludf.DUMMYFUNCTION("GOOGLETRANSLATE(A17,""en"",""eu"")"),"BIN Baliabideak")</f>
        <v>BIN Baliabideak</v>
      </c>
      <c r="J17" s="3" t="str">
        <f ca="1">IFERROR(__xludf.DUMMYFUNCTION("GOOGLETRANSLATE(A17,""en"",""gl"")"),"Recursos BIN")</f>
        <v>Recursos BIN</v>
      </c>
      <c r="K17" s="3" t="str">
        <f ca="1">IFERROR(__xludf.DUMMYFUNCTION("GOOGLETRANSLATE(A17,""en"",""zh"")"),"BIN 资源")</f>
        <v>BIN 资源</v>
      </c>
    </row>
    <row r="18" spans="1:25" x14ac:dyDescent="0.2">
      <c r="A18" s="4" t="s">
        <v>27</v>
      </c>
      <c r="B18" s="3" t="str">
        <f t="shared" si="0"/>
        <v>Bitting</v>
      </c>
      <c r="C18" s="3" t="str">
        <f ca="1">IFERROR(__xludf.DUMMYFUNCTION("GOOGLETRANSLATE(A18,""en"",""es"")"),"mordiendo")</f>
        <v>mordiendo</v>
      </c>
      <c r="D18" s="3" t="str">
        <f ca="1">IFERROR(__xludf.DUMMYFUNCTION("GOOGLETRANSLATE(A18,""en"",""ca"")"),"Mossegant")</f>
        <v>Mossegant</v>
      </c>
      <c r="E18" s="3" t="str">
        <f ca="1">IFERROR(__xludf.DUMMYFUNCTION("GOOGLETRANSLATE(A18,""en"",""fr"")"),"Mordre")</f>
        <v>Mordre</v>
      </c>
      <c r="F18" s="3" t="str">
        <f ca="1">IFERROR(__xludf.DUMMYFUNCTION("GOOGLETRANSLATE(A18,""en"",""de"")"),"Beißen")</f>
        <v>Beißen</v>
      </c>
      <c r="G18" s="3" t="str">
        <f ca="1">IFERROR(__xludf.DUMMYFUNCTION("GOOGLETRANSLATE(A18,""en"",""it"")"),"Mordere")</f>
        <v>Mordere</v>
      </c>
      <c r="H18" s="3" t="str">
        <f ca="1">IFERROR(__xludf.DUMMYFUNCTION("GOOGLETRANSLATE(A18,""en"",""nl"")"),"Bijten")</f>
        <v>Bijten</v>
      </c>
      <c r="I18" s="3" t="str">
        <f ca="1">IFERROR(__xludf.DUMMYFUNCTION("GOOGLETRANSLATE(A18,""en"",""eu"")"),"Hozkada")</f>
        <v>Hozkada</v>
      </c>
      <c r="J18" s="3" t="str">
        <f ca="1">IFERROR(__xludf.DUMMYFUNCTION("GOOGLETRANSLATE(A18,""en"",""gl"")"),"Mordendo")</f>
        <v>Mordendo</v>
      </c>
      <c r="K18" s="3" t="str">
        <f ca="1">IFERROR(__xludf.DUMMYFUNCTION("GOOGLETRANSLATE(A18,""en"",""zh"")"),"咬")</f>
        <v>咬</v>
      </c>
    </row>
    <row r="19" spans="1:25" x14ac:dyDescent="0.2">
      <c r="A19" s="4" t="s">
        <v>28</v>
      </c>
      <c r="B19" s="3" t="str">
        <f t="shared" si="0"/>
        <v>Bitting from Key Code</v>
      </c>
      <c r="C19" s="3" t="str">
        <f ca="1">IFERROR(__xludf.DUMMYFUNCTION("GOOGLETRANSLATE(A19,""en"",""es"")"),"Morder desde el código clave")</f>
        <v>Morder desde el código clave</v>
      </c>
      <c r="D19" s="3" t="str">
        <f ca="1">IFERROR(__xludf.DUMMYFUNCTION("GOOGLETRANSLATE(A19,""en"",""ca"")"),"Mossegar des del codi clau")</f>
        <v>Mossegar des del codi clau</v>
      </c>
      <c r="E19" s="3" t="str">
        <f ca="1">IFERROR(__xludf.DUMMYFUNCTION("GOOGLETRANSLATE(A19,""en"",""fr"")"),"Mordre à partir du code clé")</f>
        <v>Mordre à partir du code clé</v>
      </c>
      <c r="F19" s="3" t="str">
        <f ca="1">IFERROR(__xludf.DUMMYFUNCTION("GOOGLETRANSLATE(A19,""en"",""de"")"),"Bitting vom Schlüsselcode")</f>
        <v>Bitting vom Schlüsselcode</v>
      </c>
      <c r="G19" s="3" t="str">
        <f ca="1">IFERROR(__xludf.DUMMYFUNCTION("GOOGLETRANSLATE(A19,""en"",""it"")"),"Cifratura dal codice chiave")</f>
        <v>Cifratura dal codice chiave</v>
      </c>
      <c r="H19" s="3" t="str">
        <f ca="1">IFERROR(__xludf.DUMMYFUNCTION("GOOGLETRANSLATE(A19,""en"",""nl"")"),"Bieten van sleutelcode")</f>
        <v>Bieten van sleutelcode</v>
      </c>
      <c r="I19" s="3" t="str">
        <f ca="1">IFERROR(__xludf.DUMMYFUNCTION("GOOGLETRANSLATE(A19,""en"",""eu"")"),"Gako Kodetik ziztada")</f>
        <v>Gako Kodetik ziztada</v>
      </c>
      <c r="J19" s="3" t="str">
        <f ca="1">IFERROR(__xludf.DUMMYFUNCTION("GOOGLETRANSLATE(A19,""en"",""gl"")"),"Mordendo desde o código clave")</f>
        <v>Mordendo desde o código clave</v>
      </c>
      <c r="K19" s="3" t="str">
        <f ca="1">IFERROR(__xludf.DUMMYFUNCTION("GOOGLETRANSLATE(A19,""en"",""zh"")"),"从关键代码中读取")</f>
        <v>从关键代码中读取</v>
      </c>
    </row>
    <row r="20" spans="1:25" x14ac:dyDescent="0.2">
      <c r="A20" s="4" t="s">
        <v>29</v>
      </c>
      <c r="B20" s="3" t="str">
        <f t="shared" si="0"/>
        <v>Bitting Search</v>
      </c>
      <c r="C20" s="3" t="str">
        <f ca="1">IFERROR(__xludf.DUMMYFUNCTION("GOOGLETRANSLATE(A20,""en"",""es"")"),"Búsqueda mordida")</f>
        <v>Búsqueda mordida</v>
      </c>
      <c r="D20" s="3" t="str">
        <f ca="1">IFERROR(__xludf.DUMMYFUNCTION("GOOGLETRANSLATE(A20,""en"",""ca"")"),"Cerca mossegada")</f>
        <v>Cerca mossegada</v>
      </c>
      <c r="E20" s="3" t="str">
        <f ca="1">IFERROR(__xludf.DUMMYFUNCTION("GOOGLETRANSLATE(A20,""en"",""fr"")"),"Recherche mordante")</f>
        <v>Recherche mordante</v>
      </c>
      <c r="F20" s="3" t="str">
        <f ca="1">IFERROR(__xludf.DUMMYFUNCTION("GOOGLETRANSLATE(A20,""en"",""de"")"),"Bitting-Suche")</f>
        <v>Bitting-Suche</v>
      </c>
      <c r="G20" s="3" t="str">
        <f ca="1">IFERROR(__xludf.DUMMYFUNCTION("GOOGLETRANSLATE(A20,""en"",""it"")"),"Ricerca di bit")</f>
        <v>Ricerca di bit</v>
      </c>
      <c r="H20" s="3" t="str">
        <f ca="1">IFERROR(__xludf.DUMMYFUNCTION("GOOGLETRANSLATE(A20,""en"",""nl"")"),"Bitter zoeken")</f>
        <v>Bitter zoeken</v>
      </c>
      <c r="I20" s="3" t="str">
        <f ca="1">IFERROR(__xludf.DUMMYFUNCTION("GOOGLETRANSLATE(A20,""en"",""eu"")"),"Bitting Search")</f>
        <v>Bitting Search</v>
      </c>
      <c r="J20" s="3" t="str">
        <f ca="1">IFERROR(__xludf.DUMMYFUNCTION("GOOGLETRANSLATE(A20,""en"",""gl"")"),"Busca mordaz")</f>
        <v>Busca mordaz</v>
      </c>
      <c r="K20" s="3" t="str">
        <f ca="1">IFERROR(__xludf.DUMMYFUNCTION("GOOGLETRANSLATE(A20,""en"",""zh"")"),"咬搜索")</f>
        <v>咬搜索</v>
      </c>
    </row>
    <row r="21" spans="1:25" x14ac:dyDescent="0.2">
      <c r="A21" s="4" t="s">
        <v>30</v>
      </c>
      <c r="B21" s="3" t="str">
        <f t="shared" si="0"/>
        <v>Boot</v>
      </c>
      <c r="C21" s="3" t="str">
        <f ca="1">IFERROR(__xludf.DUMMYFUNCTION("GOOGLETRANSLATE(A21,""en"",""es"")"),"Bota")</f>
        <v>Bota</v>
      </c>
      <c r="D21" s="3" t="str">
        <f ca="1">IFERROR(__xludf.DUMMYFUNCTION("GOOGLETRANSLATE(A21,""en"",""ca"")"),"Arrencada")</f>
        <v>Arrencada</v>
      </c>
      <c r="E21" s="3" t="str">
        <f ca="1">IFERROR(__xludf.DUMMYFUNCTION("GOOGLETRANSLATE(A21,""en"",""fr"")"),"Botte")</f>
        <v>Botte</v>
      </c>
      <c r="F21" s="3" t="str">
        <f ca="1">IFERROR(__xludf.DUMMYFUNCTION("GOOGLETRANSLATE(A21,""en"",""de"")"),"Stiefel")</f>
        <v>Stiefel</v>
      </c>
      <c r="G21" s="3" t="str">
        <f ca="1">IFERROR(__xludf.DUMMYFUNCTION("GOOGLETRANSLATE(A21,""en"",""it"")"),"Stivale")</f>
        <v>Stivale</v>
      </c>
      <c r="H21" s="3" t="str">
        <f ca="1">IFERROR(__xludf.DUMMYFUNCTION("GOOGLETRANSLATE(A21,""en"",""nl"")"),"Laars")</f>
        <v>Laars</v>
      </c>
      <c r="I21" s="3" t="str">
        <f ca="1">IFERROR(__xludf.DUMMYFUNCTION("GOOGLETRANSLATE(A21,""en"",""eu"")"),"Bota")</f>
        <v>Bota</v>
      </c>
      <c r="J21" s="3" t="str">
        <f ca="1">IFERROR(__xludf.DUMMYFUNCTION("GOOGLETRANSLATE(A21,""en"",""gl"")"),"Arranque")</f>
        <v>Arranque</v>
      </c>
      <c r="K21" s="3" t="str">
        <f ca="1">IFERROR(__xludf.DUMMYFUNCTION("GOOGLETRANSLATE(A21,""en"",""zh"")"),"开机")</f>
        <v>开机</v>
      </c>
    </row>
    <row r="22" spans="1:25" x14ac:dyDescent="0.2">
      <c r="A22" s="4" t="s">
        <v>31</v>
      </c>
      <c r="B22" s="3" t="str">
        <f t="shared" si="0"/>
        <v>Buy</v>
      </c>
      <c r="C22" s="3" t="str">
        <f ca="1">IFERROR(__xludf.DUMMYFUNCTION("GOOGLETRANSLATE(A22,""en"",""es"")"),"Comprar")</f>
        <v>Comprar</v>
      </c>
      <c r="D22" s="3" t="str">
        <f ca="1">IFERROR(__xludf.DUMMYFUNCTION("GOOGLETRANSLATE(A22,""en"",""ca"")"),"Compra")</f>
        <v>Compra</v>
      </c>
      <c r="E22" s="3" t="str">
        <f ca="1">IFERROR(__xludf.DUMMYFUNCTION("GOOGLETRANSLATE(A22,""en"",""fr"")"),"Acheter")</f>
        <v>Acheter</v>
      </c>
      <c r="F22" s="3" t="str">
        <f ca="1">IFERROR(__xludf.DUMMYFUNCTION("GOOGLETRANSLATE(A22,""en"",""de"")"),"Kaufen")</f>
        <v>Kaufen</v>
      </c>
      <c r="G22" s="3" t="str">
        <f ca="1">IFERROR(__xludf.DUMMYFUNCTION("GOOGLETRANSLATE(A22,""en"",""it"")"),"Acquistare")</f>
        <v>Acquistare</v>
      </c>
      <c r="H22" s="3" t="str">
        <f ca="1">IFERROR(__xludf.DUMMYFUNCTION("GOOGLETRANSLATE(A22,""en"",""nl"")"),"Kopen")</f>
        <v>Kopen</v>
      </c>
      <c r="I22" s="3" t="str">
        <f ca="1">IFERROR(__xludf.DUMMYFUNCTION("GOOGLETRANSLATE(A22,""en"",""eu"")"),"Erosi")</f>
        <v>Erosi</v>
      </c>
      <c r="J22" s="3" t="str">
        <f ca="1">IFERROR(__xludf.DUMMYFUNCTION("GOOGLETRANSLATE(A22,""en"",""gl"")"),"Mercar")</f>
        <v>Mercar</v>
      </c>
      <c r="K22" s="3" t="str">
        <f ca="1">IFERROR(__xludf.DUMMYFUNCTION("GOOGLETRANSLATE(A22,""en"",""zh"")"),"买")</f>
        <v>买</v>
      </c>
    </row>
    <row r="23" spans="1:25" x14ac:dyDescent="0.2">
      <c r="A23" s="4" t="s">
        <v>32</v>
      </c>
      <c r="B23" s="4" t="str">
        <f t="shared" si="0"/>
        <v>Calc</v>
      </c>
      <c r="C23" s="4" t="str">
        <f ca="1">IFERROR(__xludf.DUMMYFUNCTION("GOOGLETRANSLATE(A23,""en"",""es"")"),"cálculo")</f>
        <v>cálculo</v>
      </c>
      <c r="D23" s="4" t="str">
        <f ca="1">IFERROR(__xludf.DUMMYFUNCTION("GOOGLETRANSLATE(A23,""en"",""ca"")"),"Calc")</f>
        <v>Calc</v>
      </c>
      <c r="E23" s="4" t="str">
        <f ca="1">IFERROR(__xludf.DUMMYFUNCTION("GOOGLETRANSLATE(A23,""en"",""fr"")"),"Calculer")</f>
        <v>Calculer</v>
      </c>
      <c r="F23" s="4" t="str">
        <f ca="1">IFERROR(__xludf.DUMMYFUNCTION("GOOGLETRANSLATE(A23,""en"",""de"")"),"Berechnet")</f>
        <v>Berechnet</v>
      </c>
      <c r="G23" s="4" t="str">
        <f ca="1">IFERROR(__xludf.DUMMYFUNCTION("GOOGLETRANSLATE(A23,""en"",""it"")"),"Calcolo")</f>
        <v>Calcolo</v>
      </c>
      <c r="H23" s="4" t="str">
        <f ca="1">IFERROR(__xludf.DUMMYFUNCTION("GOOGLETRANSLATE(A23,""en"",""nl"")"),"Berekening")</f>
        <v>Berekening</v>
      </c>
      <c r="I23" s="4" t="str">
        <f ca="1">IFERROR(__xludf.DUMMYFUNCTION("GOOGLETRANSLATE(A23,""en"",""eu"")"),"Kalk")</f>
        <v>Kalk</v>
      </c>
      <c r="J23" s="4" t="str">
        <f ca="1">IFERROR(__xludf.DUMMYFUNCTION("GOOGLETRANSLATE(A23,""en"",""gl"")"),"Calc")</f>
        <v>Calc</v>
      </c>
      <c r="K23" s="4" t="str">
        <f ca="1">IFERROR(__xludf.DUMMYFUNCTION("GOOGLETRANSLATE(A23,""en"",""zh"")"),"计算")</f>
        <v>计算</v>
      </c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</row>
    <row r="24" spans="1:25" x14ac:dyDescent="0.2">
      <c r="A24" s="4" t="s">
        <v>33</v>
      </c>
      <c r="B24" s="3" t="str">
        <f t="shared" si="0"/>
        <v>Calculators</v>
      </c>
      <c r="C24" s="3" t="str">
        <f ca="1">IFERROR(__xludf.DUMMYFUNCTION("GOOGLETRANSLATE(A24,""en"",""es"")"),"Calculadoras")</f>
        <v>Calculadoras</v>
      </c>
      <c r="D24" s="3" t="str">
        <f ca="1">IFERROR(__xludf.DUMMYFUNCTION("GOOGLETRANSLATE(A24,""en"",""ca"")"),"Calculadores")</f>
        <v>Calculadores</v>
      </c>
      <c r="E24" s="3" t="str">
        <f ca="1">IFERROR(__xludf.DUMMYFUNCTION("GOOGLETRANSLATE(A24,""en"",""fr"")"),"Calculatrices")</f>
        <v>Calculatrices</v>
      </c>
      <c r="F24" s="3" t="str">
        <f ca="1">IFERROR(__xludf.DUMMYFUNCTION("GOOGLETRANSLATE(A24,""en"",""de"")"),"Taschenrechner")</f>
        <v>Taschenrechner</v>
      </c>
      <c r="G24" s="3" t="str">
        <f ca="1">IFERROR(__xludf.DUMMYFUNCTION("GOOGLETRANSLATE(A24,""en"",""it"")"),"Calcolatrici")</f>
        <v>Calcolatrici</v>
      </c>
      <c r="H24" s="3" t="str">
        <f ca="1">IFERROR(__xludf.DUMMYFUNCTION("GOOGLETRANSLATE(A24,""en"",""nl"")"),"Rekenmachines")</f>
        <v>Rekenmachines</v>
      </c>
      <c r="I24" s="3" t="str">
        <f ca="1">IFERROR(__xludf.DUMMYFUNCTION("GOOGLETRANSLATE(A24,""en"",""eu"")"),"Kalkulagailuak")</f>
        <v>Kalkulagailuak</v>
      </c>
      <c r="J24" s="3" t="str">
        <f ca="1">IFERROR(__xludf.DUMMYFUNCTION("GOOGLETRANSLATE(A24,""en"",""gl"")"),"Calculadoras")</f>
        <v>Calculadoras</v>
      </c>
      <c r="K24" s="3" t="str">
        <f ca="1">IFERROR(__xludf.DUMMYFUNCTION("GOOGLETRANSLATE(A24,""en"",""zh"")"),"计算器")</f>
        <v>计算器</v>
      </c>
    </row>
    <row r="25" spans="1:25" x14ac:dyDescent="0.2">
      <c r="A25" s="4" t="s">
        <v>34</v>
      </c>
      <c r="B25" s="3" t="str">
        <f t="shared" si="0"/>
        <v>Camera is not available.</v>
      </c>
      <c r="C25" s="3" t="str">
        <f ca="1">IFERROR(__xludf.DUMMYFUNCTION("GOOGLETRANSLATE(A25,""en"",""es"")"),"La cámara no está disponible.")</f>
        <v>La cámara no está disponible.</v>
      </c>
      <c r="D25" s="3" t="str">
        <f ca="1">IFERROR(__xludf.DUMMYFUNCTION("GOOGLETRANSLATE(A25,""en"",""ca"")"),"La càmera no està disponible.")</f>
        <v>La càmera no està disponible.</v>
      </c>
      <c r="E25" s="3" t="str">
        <f ca="1">IFERROR(__xludf.DUMMYFUNCTION("GOOGLETRANSLATE(A25,""en"",""fr"")"),"La caméra n'est pas disponible.")</f>
        <v>La caméra n'est pas disponible.</v>
      </c>
      <c r="F25" s="3" t="str">
        <f ca="1">IFERROR(__xludf.DUMMYFUNCTION("GOOGLETRANSLATE(A25,""en"",""de"")"),"Kamera ist nicht verfügbar.")</f>
        <v>Kamera ist nicht verfügbar.</v>
      </c>
      <c r="G25" s="3" t="str">
        <f ca="1">IFERROR(__xludf.DUMMYFUNCTION("GOOGLETRANSLATE(A25,""en"",""it"")"),"La fotocamera non è disponibile.")</f>
        <v>La fotocamera non è disponibile.</v>
      </c>
      <c r="H25" s="3" t="str">
        <f ca="1">IFERROR(__xludf.DUMMYFUNCTION("GOOGLETRANSLATE(A25,""en"",""nl"")"),"Camera is niet beschikbaar.")</f>
        <v>Camera is niet beschikbaar.</v>
      </c>
      <c r="I25" s="3" t="str">
        <f ca="1">IFERROR(__xludf.DUMMYFUNCTION("GOOGLETRANSLATE(A25,""en"",""eu"")"),"Kamera ez dago erabilgarri.")</f>
        <v>Kamera ez dago erabilgarri.</v>
      </c>
      <c r="J25" s="3" t="str">
        <f ca="1">IFERROR(__xludf.DUMMYFUNCTION("GOOGLETRANSLATE(A25,""en"",""gl"")"),"A cámara non está dispoñible.")</f>
        <v>A cámara non está dispoñible.</v>
      </c>
      <c r="K25" s="3" t="str">
        <f ca="1">IFERROR(__xludf.DUMMYFUNCTION("GOOGLETRANSLATE(A25,""en"",""zh"")"),"相机不可用。")</f>
        <v>相机不可用。</v>
      </c>
    </row>
    <row r="26" spans="1:25" x14ac:dyDescent="0.2">
      <c r="A26" s="4" t="s">
        <v>35</v>
      </c>
      <c r="B26" s="3" t="str">
        <f t="shared" si="0"/>
        <v>CANCEL</v>
      </c>
      <c r="C26" s="3" t="str">
        <f ca="1">IFERROR(__xludf.DUMMYFUNCTION("GOOGLETRANSLATE(A26,""en"",""es"")"),"CANCELAR")</f>
        <v>CANCELAR</v>
      </c>
      <c r="D26" s="3" t="str">
        <f ca="1">IFERROR(__xludf.DUMMYFUNCTION("GOOGLETRANSLATE(A26,""en"",""ca"")"),"CANCEL·LA")</f>
        <v>CANCEL·LA</v>
      </c>
      <c r="E26" s="3" t="str">
        <f ca="1">IFERROR(__xludf.DUMMYFUNCTION("GOOGLETRANSLATE(A26,""en"",""fr"")"),"ANNULER")</f>
        <v>ANNULER</v>
      </c>
      <c r="F26" s="3" t="str">
        <f ca="1">IFERROR(__xludf.DUMMYFUNCTION("GOOGLETRANSLATE(A26,""en"",""de"")"),"STORNIEREN")</f>
        <v>STORNIEREN</v>
      </c>
      <c r="G26" s="3" t="str">
        <f ca="1">IFERROR(__xludf.DUMMYFUNCTION("GOOGLETRANSLATE(A26,""en"",""it"")"),"CANCELLARE")</f>
        <v>CANCELLARE</v>
      </c>
      <c r="H26" s="3" t="str">
        <f ca="1">IFERROR(__xludf.DUMMYFUNCTION("GOOGLETRANSLATE(A26,""en"",""nl"")"),"ANNULEREN")</f>
        <v>ANNULEREN</v>
      </c>
      <c r="I26" s="3" t="str">
        <f ca="1">IFERROR(__xludf.DUMMYFUNCTION("GOOGLETRANSLATE(A26,""en"",""eu"")"),"Utzi")</f>
        <v>Utzi</v>
      </c>
      <c r="J26" s="3" t="str">
        <f ca="1">IFERROR(__xludf.DUMMYFUNCTION("GOOGLETRANSLATE(A26,""en"",""gl"")"),"CANCELAR")</f>
        <v>CANCELAR</v>
      </c>
      <c r="K26" s="3" t="str">
        <f ca="1">IFERROR(__xludf.DUMMYFUNCTION("GOOGLETRANSLATE(A26,""en"",""zh"")"),"取消")</f>
        <v>取消</v>
      </c>
    </row>
    <row r="27" spans="1:25" x14ac:dyDescent="0.2">
      <c r="A27" s="4" t="s">
        <v>36</v>
      </c>
      <c r="B27" s="3" t="str">
        <f t="shared" si="0"/>
        <v>Cars</v>
      </c>
      <c r="C27" s="3" t="str">
        <f ca="1">IFERROR(__xludf.DUMMYFUNCTION("GOOGLETRANSLATE(A27,""en"",""es"")"),"Coches")</f>
        <v>Coches</v>
      </c>
      <c r="D27" s="3" t="str">
        <f ca="1">IFERROR(__xludf.DUMMYFUNCTION("GOOGLETRANSLATE(A27,""en"",""ca"")"),"Cotxes")</f>
        <v>Cotxes</v>
      </c>
      <c r="E27" s="3" t="str">
        <f ca="1">IFERROR(__xludf.DUMMYFUNCTION("GOOGLETRANSLATE(A27,""en"",""fr"")"),"Voitures")</f>
        <v>Voitures</v>
      </c>
      <c r="F27" s="3" t="str">
        <f ca="1">IFERROR(__xludf.DUMMYFUNCTION("GOOGLETRANSLATE(A27,""en"",""de"")"),"Autos")</f>
        <v>Autos</v>
      </c>
      <c r="G27" s="3" t="str">
        <f ca="1">IFERROR(__xludf.DUMMYFUNCTION("GOOGLETRANSLATE(A27,""en"",""it"")"),"Automobili")</f>
        <v>Automobili</v>
      </c>
      <c r="H27" s="3" t="str">
        <f ca="1">IFERROR(__xludf.DUMMYFUNCTION("GOOGLETRANSLATE(A27,""en"",""nl"")"),"Auto's")</f>
        <v>Auto's</v>
      </c>
      <c r="I27" s="3" t="str">
        <f ca="1">IFERROR(__xludf.DUMMYFUNCTION("GOOGLETRANSLATE(A27,""en"",""eu"")"),"Kotxeak")</f>
        <v>Kotxeak</v>
      </c>
      <c r="J27" s="3" t="str">
        <f ca="1">IFERROR(__xludf.DUMMYFUNCTION("GOOGLETRANSLATE(A27,""en"",""gl"")"),"Coches")</f>
        <v>Coches</v>
      </c>
      <c r="K27" s="3" t="str">
        <f ca="1">IFERROR(__xludf.DUMMYFUNCTION("GOOGLETRANSLATE(A27,""en"",""zh"")"),"汽车")</f>
        <v>汽车</v>
      </c>
    </row>
    <row r="28" spans="1:25" x14ac:dyDescent="0.2">
      <c r="A28" s="4" t="s">
        <v>37</v>
      </c>
      <c r="B28" s="3" t="str">
        <f t="shared" si="0"/>
        <v>Checking for Feedback</v>
      </c>
      <c r="C28" s="3" t="str">
        <f ca="1">IFERROR(__xludf.DUMMYFUNCTION("GOOGLETRANSLATE(A28,""en"",""es"")"),"Comprobando comentarios")</f>
        <v>Comprobando comentarios</v>
      </c>
      <c r="D28" s="3" t="str">
        <f ca="1">IFERROR(__xludf.DUMMYFUNCTION("GOOGLETRANSLATE(A28,""en"",""ca"")"),"Comprovació de comentaris")</f>
        <v>Comprovació de comentaris</v>
      </c>
      <c r="E28" s="3" t="str">
        <f ca="1">IFERROR(__xludf.DUMMYFUNCTION("GOOGLETRANSLATE(A28,""en"",""fr"")"),"Vérification des commentaires")</f>
        <v>Vérification des commentaires</v>
      </c>
      <c r="F28" s="3" t="str">
        <f ca="1">IFERROR(__xludf.DUMMYFUNCTION("GOOGLETRANSLATE(A28,""en"",""de"")"),"Auf Feedback prüfen")</f>
        <v>Auf Feedback prüfen</v>
      </c>
      <c r="G28" s="3" t="str">
        <f ca="1">IFERROR(__xludf.DUMMYFUNCTION("GOOGLETRANSLATE(A28,""en"",""it"")"),"Controllo del feedback")</f>
        <v>Controllo del feedback</v>
      </c>
      <c r="H28" s="3" t="str">
        <f ca="1">IFERROR(__xludf.DUMMYFUNCTION("GOOGLETRANSLATE(A28,""en"",""nl"")"),"Controleren op feedback")</f>
        <v>Controleren op feedback</v>
      </c>
      <c r="I28" s="3" t="str">
        <f ca="1">IFERROR(__xludf.DUMMYFUNCTION("GOOGLETRANSLATE(A28,""en"",""eu"")"),"Iritzia egiaztatzen")</f>
        <v>Iritzia egiaztatzen</v>
      </c>
      <c r="J28" s="3" t="str">
        <f ca="1">IFERROR(__xludf.DUMMYFUNCTION("GOOGLETRANSLATE(A28,""en"",""gl"")"),"Comprobando comentarios")</f>
        <v>Comprobando comentarios</v>
      </c>
      <c r="K28" s="3" t="str">
        <f ca="1">IFERROR(__xludf.DUMMYFUNCTION("GOOGLETRANSLATE(A28,""en"",""zh"")"),"检查反馈")</f>
        <v>检查反馈</v>
      </c>
    </row>
    <row r="29" spans="1:25" x14ac:dyDescent="0.2">
      <c r="A29" s="4" t="s">
        <v>38</v>
      </c>
      <c r="B29" s="3" t="str">
        <f t="shared" si="0"/>
        <v>Chips</v>
      </c>
      <c r="C29" s="3" t="str">
        <f ca="1">IFERROR(__xludf.DUMMYFUNCTION("GOOGLETRANSLATE(A29,""en"",""es"")"),"Papas fritas")</f>
        <v>Papas fritas</v>
      </c>
      <c r="D29" s="3" t="str">
        <f ca="1">IFERROR(__xludf.DUMMYFUNCTION("GOOGLETRANSLATE(A29,""en"",""ca"")"),"Xips")</f>
        <v>Xips</v>
      </c>
      <c r="E29" s="3" t="str">
        <f ca="1">IFERROR(__xludf.DUMMYFUNCTION("GOOGLETRANSLATE(A29,""en"",""fr"")"),"Puces")</f>
        <v>Puces</v>
      </c>
      <c r="F29" s="3" t="str">
        <f ca="1">IFERROR(__xludf.DUMMYFUNCTION("GOOGLETRANSLATE(A29,""en"",""de"")"),"Chips")</f>
        <v>Chips</v>
      </c>
      <c r="G29" s="3" t="str">
        <f ca="1">IFERROR(__xludf.DUMMYFUNCTION("GOOGLETRANSLATE(A29,""en"",""it"")"),"Patatine fritte")</f>
        <v>Patatine fritte</v>
      </c>
      <c r="H29" s="3" t="str">
        <f ca="1">IFERROR(__xludf.DUMMYFUNCTION("GOOGLETRANSLATE(A29,""en"",""nl"")"),"Chips")</f>
        <v>Chips</v>
      </c>
      <c r="I29" s="3" t="str">
        <f ca="1">IFERROR(__xludf.DUMMYFUNCTION("GOOGLETRANSLATE(A29,""en"",""eu"")"),"Txipak")</f>
        <v>Txipak</v>
      </c>
      <c r="J29" s="3" t="str">
        <f ca="1">IFERROR(__xludf.DUMMYFUNCTION("GOOGLETRANSLATE(A29,""en"",""gl"")"),"Chips")</f>
        <v>Chips</v>
      </c>
      <c r="K29" s="3" t="str">
        <f ca="1">IFERROR(__xludf.DUMMYFUNCTION("GOOGLETRANSLATE(A29,""en"",""zh"")"),"薯片")</f>
        <v>薯片</v>
      </c>
    </row>
    <row r="30" spans="1:25" x14ac:dyDescent="0.2">
      <c r="A30" s="4" t="s">
        <v>39</v>
      </c>
      <c r="B30" s="3" t="str">
        <f t="shared" si="0"/>
        <v>Chrysler Hex to PIN from Eeprom</v>
      </c>
      <c r="C30" s="3" t="str">
        <f ca="1">IFERROR(__xludf.DUMMYFUNCTION("GOOGLETRANSLATE(A30,""en"",""es"")"),"Chrysler Hex al PIN de Eeprom")</f>
        <v>Chrysler Hex al PIN de Eeprom</v>
      </c>
      <c r="D30" s="3" t="str">
        <f ca="1">IFERROR(__xludf.DUMMYFUNCTION("GOOGLETRANSLATE(A30,""en"",""ca"")"),"Chrysler Hex a PIN d'Eeprom")</f>
        <v>Chrysler Hex a PIN d'Eeprom</v>
      </c>
      <c r="E30" s="3" t="str">
        <f ca="1">IFERROR(__xludf.DUMMYFUNCTION("GOOGLETRANSLATE(A30,""en"",""fr"")"),"Chrysler Hex vers PIN depuis Eeprom")</f>
        <v>Chrysler Hex vers PIN depuis Eeprom</v>
      </c>
      <c r="F30" s="3" t="str">
        <f ca="1">IFERROR(__xludf.DUMMYFUNCTION("GOOGLETRANSLATE(A30,""en"",""de"")"),"Chrysler Hex zu PIN vom Eeprom")</f>
        <v>Chrysler Hex zu PIN vom Eeprom</v>
      </c>
      <c r="G30" s="3" t="str">
        <f ca="1">IFERROR(__xludf.DUMMYFUNCTION("GOOGLETRANSLATE(A30,""en"",""it"")"),"Chrysler Hex al PIN da Eeprom")</f>
        <v>Chrysler Hex al PIN da Eeprom</v>
      </c>
      <c r="H30" s="3" t="str">
        <f ca="1">IFERROR(__xludf.DUMMYFUNCTION("GOOGLETRANSLATE(A30,""en"",""nl"")"),"Chrysler Hex naar PIN van Eeprom")</f>
        <v>Chrysler Hex naar PIN van Eeprom</v>
      </c>
      <c r="I30" s="3" t="str">
        <f ca="1">IFERROR(__xludf.DUMMYFUNCTION("GOOGLETRANSLATE(A30,""en"",""eu"")"),"Chrysler Hex Eeprom-en PINera")</f>
        <v>Chrysler Hex Eeprom-en PINera</v>
      </c>
      <c r="J30" s="3" t="str">
        <f ca="1">IFERROR(__xludf.DUMMYFUNCTION("GOOGLETRANSLATE(A30,""en"",""gl"")"),"Chrysler Hex a PIN de Eeprom")</f>
        <v>Chrysler Hex a PIN de Eeprom</v>
      </c>
      <c r="K30" s="3" t="str">
        <f ca="1">IFERROR(__xludf.DUMMYFUNCTION("GOOGLETRANSLATE(A30,""en"",""zh"")"),"从 Eeprom 到克莱斯勒 Hex 到 PIN")</f>
        <v>从 Eeprom 到克莱斯勒 Hex 到 PIN</v>
      </c>
    </row>
    <row r="31" spans="1:25" x14ac:dyDescent="0.2">
      <c r="A31" s="4" t="s">
        <v>40</v>
      </c>
      <c r="B31" s="3" t="str">
        <f t="shared" si="0"/>
        <v>Chrysler Immo Systems</v>
      </c>
      <c r="C31" s="3" t="str">
        <f ca="1">IFERROR(__xludf.DUMMYFUNCTION("GOOGLETRANSLATE(A31,""en"",""es"")"),"Sistemas Immo Chrysler")</f>
        <v>Sistemas Immo Chrysler</v>
      </c>
      <c r="D31" s="3" t="str">
        <f ca="1">IFERROR(__xludf.DUMMYFUNCTION("GOOGLETRANSLATE(A31,""en"",""ca"")"),"Chrysler Immo Systems")</f>
        <v>Chrysler Immo Systems</v>
      </c>
      <c r="E31" s="3" t="str">
        <f ca="1">IFERROR(__xludf.DUMMYFUNCTION("GOOGLETRANSLATE(A31,""en"",""fr"")"),"Chrysler Immo Systèmes")</f>
        <v>Chrysler Immo Systèmes</v>
      </c>
      <c r="F31" s="3" t="str">
        <f ca="1">IFERROR(__xludf.DUMMYFUNCTION("GOOGLETRANSLATE(A31,""en"",""de"")"),"Chrysler Immo Systems")</f>
        <v>Chrysler Immo Systems</v>
      </c>
      <c r="G31" s="3" t="str">
        <f ca="1">IFERROR(__xludf.DUMMYFUNCTION("GOOGLETRANSLATE(A31,""en"",""it"")"),"Sistemi Immo Chrysler")</f>
        <v>Sistemi Immo Chrysler</v>
      </c>
      <c r="H31" s="3" t="str">
        <f ca="1">IFERROR(__xludf.DUMMYFUNCTION("GOOGLETRANSLATE(A31,""en"",""nl"")"),"Chrysler Immo-systemen")</f>
        <v>Chrysler Immo-systemen</v>
      </c>
      <c r="I31" s="3" t="str">
        <f ca="1">IFERROR(__xludf.DUMMYFUNCTION("GOOGLETRANSLATE(A31,""en"",""eu"")"),"Chrysler Immo Systems")</f>
        <v>Chrysler Immo Systems</v>
      </c>
      <c r="J31" s="3" t="str">
        <f ca="1">IFERROR(__xludf.DUMMYFUNCTION("GOOGLETRANSLATE(A31,""en"",""gl"")"),"Sistemas Chrysler Immo")</f>
        <v>Sistemas Chrysler Immo</v>
      </c>
      <c r="K31" s="3" t="str">
        <f ca="1">IFERROR(__xludf.DUMMYFUNCTION("GOOGLETRANSLATE(A31,""en"",""zh"")"),"克莱斯勒防盗系统")</f>
        <v>克莱斯勒防盗系统</v>
      </c>
    </row>
    <row r="32" spans="1:25" x14ac:dyDescent="0.2">
      <c r="A32" s="4" t="s">
        <v>41</v>
      </c>
      <c r="B32" s="3" t="str">
        <f t="shared" si="0"/>
        <v>Chrysler Security Gateway</v>
      </c>
      <c r="C32" s="3" t="str">
        <f ca="1">IFERROR(__xludf.DUMMYFUNCTION("GOOGLETRANSLATE(A32,""en"",""es"")"),"Puerta de enlace de seguridad Chrysler")</f>
        <v>Puerta de enlace de seguridad Chrysler</v>
      </c>
      <c r="D32" s="3" t="str">
        <f ca="1">IFERROR(__xludf.DUMMYFUNCTION("GOOGLETRANSLATE(A32,""en"",""ca"")"),"Chrysler Security Gateway")</f>
        <v>Chrysler Security Gateway</v>
      </c>
      <c r="E32" s="3" t="str">
        <f ca="1">IFERROR(__xludf.DUMMYFUNCTION("GOOGLETRANSLATE(A32,""en"",""fr"")"),"Passerelle de sécurité Chrysler")</f>
        <v>Passerelle de sécurité Chrysler</v>
      </c>
      <c r="F32" s="3" t="str">
        <f ca="1">IFERROR(__xludf.DUMMYFUNCTION("GOOGLETRANSLATE(A32,""en"",""de"")"),"Chrysler-Sicherheitsgateway")</f>
        <v>Chrysler-Sicherheitsgateway</v>
      </c>
      <c r="G32" s="3" t="str">
        <f ca="1">IFERROR(__xludf.DUMMYFUNCTION("GOOGLETRANSLATE(A32,""en"",""it"")"),"Portale di sicurezza Chrysler")</f>
        <v>Portale di sicurezza Chrysler</v>
      </c>
      <c r="H32" s="3" t="str">
        <f ca="1">IFERROR(__xludf.DUMMYFUNCTION("GOOGLETRANSLATE(A32,""en"",""nl"")"),"Chrysler-beveiligingsgateway")</f>
        <v>Chrysler-beveiligingsgateway</v>
      </c>
      <c r="I32" s="3" t="str">
        <f ca="1">IFERROR(__xludf.DUMMYFUNCTION("GOOGLETRANSLATE(A32,""en"",""eu"")"),"Chrysler Security Gateway")</f>
        <v>Chrysler Security Gateway</v>
      </c>
      <c r="J32" s="3" t="str">
        <f ca="1">IFERROR(__xludf.DUMMYFUNCTION("GOOGLETRANSLATE(A32,""en"",""gl"")"),"Chrysler Security Gateway")</f>
        <v>Chrysler Security Gateway</v>
      </c>
      <c r="K32" s="3" t="str">
        <f ca="1">IFERROR(__xludf.DUMMYFUNCTION("GOOGLETRANSLATE(A32,""en"",""zh"")"),"克莱斯勒安全网关")</f>
        <v>克莱斯勒安全网关</v>
      </c>
    </row>
    <row r="33" spans="1:11" x14ac:dyDescent="0.2">
      <c r="A33" s="4" t="s">
        <v>42</v>
      </c>
      <c r="B33" s="3" t="str">
        <f t="shared" si="0"/>
        <v>Clear</v>
      </c>
      <c r="C33" s="3" t="str">
        <f ca="1">IFERROR(__xludf.DUMMYFUNCTION("GOOGLETRANSLATE(A33,""en"",""es"")"),"Claro")</f>
        <v>Claro</v>
      </c>
      <c r="D33" s="3" t="str">
        <f ca="1">IFERROR(__xludf.DUMMYFUNCTION("GOOGLETRANSLATE(A33,""en"",""ca"")"),"Clar")</f>
        <v>Clar</v>
      </c>
      <c r="E33" s="3" t="str">
        <f ca="1">IFERROR(__xludf.DUMMYFUNCTION("GOOGLETRANSLATE(A33,""en"",""fr"")"),"Clair")</f>
        <v>Clair</v>
      </c>
      <c r="F33" s="3" t="str">
        <f ca="1">IFERROR(__xludf.DUMMYFUNCTION("GOOGLETRANSLATE(A33,""en"",""de"")"),"Klar")</f>
        <v>Klar</v>
      </c>
      <c r="G33" s="3" t="str">
        <f ca="1">IFERROR(__xludf.DUMMYFUNCTION("GOOGLETRANSLATE(A33,""en"",""it"")"),"Chiaro")</f>
        <v>Chiaro</v>
      </c>
      <c r="H33" s="3" t="str">
        <f ca="1">IFERROR(__xludf.DUMMYFUNCTION("GOOGLETRANSLATE(A33,""en"",""nl"")"),"Duidelijk")</f>
        <v>Duidelijk</v>
      </c>
      <c r="I33" s="3" t="str">
        <f ca="1">IFERROR(__xludf.DUMMYFUNCTION("GOOGLETRANSLATE(A33,""en"",""eu"")"),"Garbi")</f>
        <v>Garbi</v>
      </c>
      <c r="J33" s="3" t="str">
        <f ca="1">IFERROR(__xludf.DUMMYFUNCTION("GOOGLETRANSLATE(A33,""en"",""gl"")"),"Limpar")</f>
        <v>Limpar</v>
      </c>
      <c r="K33" s="3" t="str">
        <f ca="1">IFERROR(__xludf.DUMMYFUNCTION("GOOGLETRANSLATE(A33,""en"",""zh"")"),"清除")</f>
        <v>清除</v>
      </c>
    </row>
    <row r="34" spans="1:11" x14ac:dyDescent="0.2">
      <c r="A34" s="4" t="s">
        <v>43</v>
      </c>
      <c r="B34" s="3" t="str">
        <f t="shared" si="0"/>
        <v>Clear All</v>
      </c>
      <c r="C34" s="3" t="str">
        <f ca="1">IFERROR(__xludf.DUMMYFUNCTION("GOOGLETRANSLATE(A34,""en"",""es"")"),"Borrar todo")</f>
        <v>Borrar todo</v>
      </c>
      <c r="D34" s="3" t="str">
        <f ca="1">IFERROR(__xludf.DUMMYFUNCTION("GOOGLETRANSLATE(A34,""en"",""ca"")"),"Esborra-ho tot")</f>
        <v>Esborra-ho tot</v>
      </c>
      <c r="E34" s="3" t="str">
        <f ca="1">IFERROR(__xludf.DUMMYFUNCTION("GOOGLETRANSLATE(A34,""en"",""fr"")"),"Tout effacer")</f>
        <v>Tout effacer</v>
      </c>
      <c r="F34" s="3" t="str">
        <f ca="1">IFERROR(__xludf.DUMMYFUNCTION("GOOGLETRANSLATE(A34,""en"",""de"")"),"Alles löschen")</f>
        <v>Alles löschen</v>
      </c>
      <c r="G34" s="3" t="str">
        <f ca="1">IFERROR(__xludf.DUMMYFUNCTION("GOOGLETRANSLATE(A34,""en"",""it"")"),"Cancella tutto")</f>
        <v>Cancella tutto</v>
      </c>
      <c r="H34" s="3" t="str">
        <f ca="1">IFERROR(__xludf.DUMMYFUNCTION("GOOGLETRANSLATE(A34,""en"",""nl"")"),"Alles wissen")</f>
        <v>Alles wissen</v>
      </c>
      <c r="I34" s="3" t="str">
        <f ca="1">IFERROR(__xludf.DUMMYFUNCTION("GOOGLETRANSLATE(A34,""en"",""eu"")"),"Garbitu guztiak")</f>
        <v>Garbitu guztiak</v>
      </c>
      <c r="J34" s="3" t="str">
        <f ca="1">IFERROR(__xludf.DUMMYFUNCTION("GOOGLETRANSLATE(A34,""en"",""gl"")"),"Borrar todo")</f>
        <v>Borrar todo</v>
      </c>
      <c r="K34" s="3" t="str">
        <f ca="1">IFERROR(__xludf.DUMMYFUNCTION("GOOGLETRANSLATE(A34,""en"",""zh"")"),"全部清除")</f>
        <v>全部清除</v>
      </c>
    </row>
    <row r="35" spans="1:11" x14ac:dyDescent="0.2">
      <c r="A35" s="4" t="s">
        <v>44</v>
      </c>
      <c r="B35" s="3" t="str">
        <f t="shared" si="0"/>
        <v>Clear All Cuts</v>
      </c>
      <c r="C35" s="3" t="str">
        <f ca="1">IFERROR(__xludf.DUMMYFUNCTION("GOOGLETRANSLATE(A35,""en"",""es"")"),"Borrar todos los cortes")</f>
        <v>Borrar todos los cortes</v>
      </c>
      <c r="D35" s="3" t="str">
        <f ca="1">IFERROR(__xludf.DUMMYFUNCTION("GOOGLETRANSLATE(A35,""en"",""ca"")"),"Esborra tots els talls")</f>
        <v>Esborra tots els talls</v>
      </c>
      <c r="E35" s="3" t="str">
        <f ca="1">IFERROR(__xludf.DUMMYFUNCTION("GOOGLETRANSLATE(A35,""en"",""fr"")"),"Effacer toutes les coupes")</f>
        <v>Effacer toutes les coupes</v>
      </c>
      <c r="F35" s="3" t="str">
        <f ca="1">IFERROR(__xludf.DUMMYFUNCTION("GOOGLETRANSLATE(A35,""en"",""de"")"),"Alle Schnitte löschen")</f>
        <v>Alle Schnitte löschen</v>
      </c>
      <c r="G35" s="3" t="str">
        <f ca="1">IFERROR(__xludf.DUMMYFUNCTION("GOOGLETRANSLATE(A35,""en"",""it"")"),"Cancella tutti i tagli")</f>
        <v>Cancella tutti i tagli</v>
      </c>
      <c r="H35" s="3" t="str">
        <f ca="1">IFERROR(__xludf.DUMMYFUNCTION("GOOGLETRANSLATE(A35,""en"",""nl"")"),"Wis alle bezuinigingen")</f>
        <v>Wis alle bezuinigingen</v>
      </c>
      <c r="I35" s="3" t="str">
        <f ca="1">IFERROR(__xludf.DUMMYFUNCTION("GOOGLETRANSLATE(A35,""en"",""eu"")"),"Garbitu Ebaki guztiak")</f>
        <v>Garbitu Ebaki guztiak</v>
      </c>
      <c r="J35" s="3" t="str">
        <f ca="1">IFERROR(__xludf.DUMMYFUNCTION("GOOGLETRANSLATE(A35,""en"",""gl"")"),"Borrar todos os cortes")</f>
        <v>Borrar todos os cortes</v>
      </c>
      <c r="K35" s="3" t="str">
        <f ca="1">IFERROR(__xludf.DUMMYFUNCTION("GOOGLETRANSLATE(A35,""en"",""zh"")"),"清除所有剪辑")</f>
        <v>清除所有剪辑</v>
      </c>
    </row>
    <row r="36" spans="1:11" x14ac:dyDescent="0.2">
      <c r="A36" s="4" t="s">
        <v>45</v>
      </c>
      <c r="B36" s="3" t="str">
        <f t="shared" si="0"/>
        <v>Codes</v>
      </c>
      <c r="C36" s="3" t="str">
        <f ca="1">IFERROR(__xludf.DUMMYFUNCTION("GOOGLETRANSLATE(A36,""en"",""es"")"),"Códigos")</f>
        <v>Códigos</v>
      </c>
      <c r="D36" s="3" t="str">
        <f ca="1">IFERROR(__xludf.DUMMYFUNCTION("GOOGLETRANSLATE(A36,""en"",""ca"")"),"Codis")</f>
        <v>Codis</v>
      </c>
      <c r="E36" s="3" t="str">
        <f ca="1">IFERROR(__xludf.DUMMYFUNCTION("GOOGLETRANSLATE(A36,""en"",""fr"")"),"Codes")</f>
        <v>Codes</v>
      </c>
      <c r="F36" s="3" t="str">
        <f ca="1">IFERROR(__xludf.DUMMYFUNCTION("GOOGLETRANSLATE(A36,""en"",""de"")"),"Codes")</f>
        <v>Codes</v>
      </c>
      <c r="G36" s="3" t="str">
        <f ca="1">IFERROR(__xludf.DUMMYFUNCTION("GOOGLETRANSLATE(A36,""en"",""it"")"),"Codici")</f>
        <v>Codici</v>
      </c>
      <c r="H36" s="3" t="str">
        <f ca="1">IFERROR(__xludf.DUMMYFUNCTION("GOOGLETRANSLATE(A36,""en"",""nl"")"),"Codes")</f>
        <v>Codes</v>
      </c>
      <c r="I36" s="3" t="str">
        <f ca="1">IFERROR(__xludf.DUMMYFUNCTION("GOOGLETRANSLATE(A36,""en"",""eu"")"),"Kodeak")</f>
        <v>Kodeak</v>
      </c>
      <c r="J36" s="3" t="str">
        <f ca="1">IFERROR(__xludf.DUMMYFUNCTION("GOOGLETRANSLATE(A36,""en"",""gl"")"),"Códigos")</f>
        <v>Códigos</v>
      </c>
      <c r="K36" s="3" t="str">
        <f ca="1">IFERROR(__xludf.DUMMYFUNCTION("GOOGLETRANSLATE(A36,""en"",""zh"")"),"代码")</f>
        <v>代码</v>
      </c>
    </row>
    <row r="37" spans="1:11" x14ac:dyDescent="0.2">
      <c r="A37" s="4" t="s">
        <v>46</v>
      </c>
      <c r="B37" s="3" t="str">
        <f t="shared" si="0"/>
        <v>Comments etc on your Feedback</v>
      </c>
      <c r="C37" s="3" t="str">
        <f ca="1">IFERROR(__xludf.DUMMYFUNCTION("GOOGLETRANSLATE(A37,""en"",""es"")"),"Comentarios, etc. sobre sus comentarios")</f>
        <v>Comentarios, etc. sobre sus comentarios</v>
      </c>
      <c r="D37" s="3" t="str">
        <f ca="1">IFERROR(__xludf.DUMMYFUNCTION("GOOGLETRANSLATE(A37,""en"",""ca"")"),"Comentaris, etc. a les vostres opinions")</f>
        <v>Comentaris, etc. a les vostres opinions</v>
      </c>
      <c r="E37" s="3" t="str">
        <f ca="1">IFERROR(__xludf.DUMMYFUNCTION("GOOGLETRANSLATE(A37,""en"",""fr"")"),"Commentaires, etc. sur vos commentaires")</f>
        <v>Commentaires, etc. sur vos commentaires</v>
      </c>
      <c r="F37" s="3" t="str">
        <f ca="1">IFERROR(__xludf.DUMMYFUNCTION("GOOGLETRANSLATE(A37,""en"",""de"")"),"Kommentare usw. zu Ihrem Feedback")</f>
        <v>Kommentare usw. zu Ihrem Feedback</v>
      </c>
      <c r="G37" s="3" t="str">
        <f ca="1">IFERROR(__xludf.DUMMYFUNCTION("GOOGLETRANSLATE(A37,""en"",""it"")"),"Commenti ecc. sul tuo feedback")</f>
        <v>Commenti ecc. sul tuo feedback</v>
      </c>
      <c r="H37" s="3" t="str">
        <f ca="1">IFERROR(__xludf.DUMMYFUNCTION("GOOGLETRANSLATE(A37,""en"",""nl"")"),"Opmerkingen enz. over uw feedback")</f>
        <v>Opmerkingen enz. over uw feedback</v>
      </c>
      <c r="I37" s="3" t="str">
        <f ca="1">IFERROR(__xludf.DUMMYFUNCTION("GOOGLETRANSLATE(A37,""en"",""eu"")"),"Iruzkinak eta abar zure Iritzietan")</f>
        <v>Iruzkinak eta abar zure Iritzietan</v>
      </c>
      <c r="J37" s="3" t="str">
        <f ca="1">IFERROR(__xludf.DUMMYFUNCTION("GOOGLETRANSLATE(A37,""en"",""gl"")"),"Comentarios, etc. nos teus comentarios")</f>
        <v>Comentarios, etc. nos teus comentarios</v>
      </c>
      <c r="K37" s="3" t="str">
        <f ca="1">IFERROR(__xludf.DUMMYFUNCTION("GOOGLETRANSLATE(A37,""en"",""zh"")"),"对您的反馈的评论等")</f>
        <v>对您的反馈的评论等</v>
      </c>
    </row>
    <row r="38" spans="1:11" x14ac:dyDescent="0.2">
      <c r="A38" s="4" t="s">
        <v>47</v>
      </c>
      <c r="B38" s="3" t="str">
        <f t="shared" si="0"/>
        <v>Continue</v>
      </c>
      <c r="C38" s="3" t="str">
        <f ca="1">IFERROR(__xludf.DUMMYFUNCTION("GOOGLETRANSLATE(A38,""en"",""es"")"),"Continuar")</f>
        <v>Continuar</v>
      </c>
      <c r="D38" s="3" t="str">
        <f ca="1">IFERROR(__xludf.DUMMYFUNCTION("GOOGLETRANSLATE(A38,""en"",""ca"")"),"Continua")</f>
        <v>Continua</v>
      </c>
      <c r="E38" s="3" t="str">
        <f ca="1">IFERROR(__xludf.DUMMYFUNCTION("GOOGLETRANSLATE(A38,""en"",""fr"")"),"Continuer")</f>
        <v>Continuer</v>
      </c>
      <c r="F38" s="3" t="str">
        <f ca="1">IFERROR(__xludf.DUMMYFUNCTION("GOOGLETRANSLATE(A38,""en"",""de"")"),"Weitermachen")</f>
        <v>Weitermachen</v>
      </c>
      <c r="G38" s="3" t="str">
        <f ca="1">IFERROR(__xludf.DUMMYFUNCTION("GOOGLETRANSLATE(A38,""en"",""it"")"),"Continuare")</f>
        <v>Continuare</v>
      </c>
      <c r="H38" s="3" t="str">
        <f ca="1">IFERROR(__xludf.DUMMYFUNCTION("GOOGLETRANSLATE(A38,""en"",""nl"")"),"Doorgaan")</f>
        <v>Doorgaan</v>
      </c>
      <c r="I38" s="3" t="str">
        <f ca="1">IFERROR(__xludf.DUMMYFUNCTION("GOOGLETRANSLATE(A38,""en"",""eu"")"),"Jarraitu")</f>
        <v>Jarraitu</v>
      </c>
      <c r="J38" s="3" t="str">
        <f ca="1">IFERROR(__xludf.DUMMYFUNCTION("GOOGLETRANSLATE(A38,""en"",""gl"")"),"Continuar")</f>
        <v>Continuar</v>
      </c>
      <c r="K38" s="3" t="str">
        <f ca="1">IFERROR(__xludf.DUMMYFUNCTION("GOOGLETRANSLATE(A38,""en"",""zh"")"),"继续")</f>
        <v>继续</v>
      </c>
    </row>
    <row r="39" spans="1:11" x14ac:dyDescent="0.2">
      <c r="A39" s="4" t="s">
        <v>48</v>
      </c>
      <c r="B39" s="3" t="str">
        <f t="shared" si="0"/>
        <v>Convert</v>
      </c>
      <c r="C39" s="3" t="str">
        <f ca="1">IFERROR(__xludf.DUMMYFUNCTION("GOOGLETRANSLATE(A39,""en"",""es"")"),"Convertir")</f>
        <v>Convertir</v>
      </c>
      <c r="D39" s="3" t="str">
        <f ca="1">IFERROR(__xludf.DUMMYFUNCTION("GOOGLETRANSLATE(A39,""en"",""ca"")"),"Converteix")</f>
        <v>Converteix</v>
      </c>
      <c r="E39" s="3" t="str">
        <f ca="1">IFERROR(__xludf.DUMMYFUNCTION("GOOGLETRANSLATE(A39,""en"",""fr"")"),"Convertir")</f>
        <v>Convertir</v>
      </c>
      <c r="F39" s="3" t="str">
        <f ca="1">IFERROR(__xludf.DUMMYFUNCTION("GOOGLETRANSLATE(A39,""en"",""de"")"),"Konvertieren")</f>
        <v>Konvertieren</v>
      </c>
      <c r="G39" s="3" t="str">
        <f ca="1">IFERROR(__xludf.DUMMYFUNCTION("GOOGLETRANSLATE(A39,""en"",""it"")"),"Convertire")</f>
        <v>Convertire</v>
      </c>
      <c r="H39" s="3" t="str">
        <f ca="1">IFERROR(__xludf.DUMMYFUNCTION("GOOGLETRANSLATE(A39,""en"",""nl"")"),"Overzetten")</f>
        <v>Overzetten</v>
      </c>
      <c r="I39" s="3" t="str">
        <f ca="1">IFERROR(__xludf.DUMMYFUNCTION("GOOGLETRANSLATE(A39,""en"",""eu"")"),"Bihurtu")</f>
        <v>Bihurtu</v>
      </c>
      <c r="J39" s="3" t="str">
        <f ca="1">IFERROR(__xludf.DUMMYFUNCTION("GOOGLETRANSLATE(A39,""en"",""gl"")"),"Converter")</f>
        <v>Converter</v>
      </c>
      <c r="K39" s="3" t="str">
        <f ca="1">IFERROR(__xludf.DUMMYFUNCTION("GOOGLETRANSLATE(A39,""en"",""zh"")"),"转变")</f>
        <v>转变</v>
      </c>
    </row>
    <row r="40" spans="1:11" x14ac:dyDescent="0.2">
      <c r="A40" s="4" t="s">
        <v>49</v>
      </c>
      <c r="B40" s="3" t="str">
        <f t="shared" si="0"/>
        <v>Converted Bitting</v>
      </c>
      <c r="C40" s="3" t="str">
        <f ca="1">IFERROR(__xludf.DUMMYFUNCTION("GOOGLETRANSLATE(A40,""en"",""es"")"),"Mordida convertida")</f>
        <v>Mordida convertida</v>
      </c>
      <c r="D40" s="3" t="str">
        <f ca="1">IFERROR(__xludf.DUMMYFUNCTION("GOOGLETRANSLATE(A40,""en"",""ca"")"),"Bitting convertit")</f>
        <v>Bitting convertit</v>
      </c>
      <c r="E40" s="3" t="str">
        <f ca="1">IFERROR(__xludf.DUMMYFUNCTION("GOOGLETRANSLATE(A40,""en"",""fr"")"),"Morsure convertie")</f>
        <v>Morsure convertie</v>
      </c>
      <c r="F40" s="3" t="str">
        <f ca="1">IFERROR(__xludf.DUMMYFUNCTION("GOOGLETRANSLATE(A40,""en"",""de"")"),"Konvertiertes Gebiss")</f>
        <v>Konvertiertes Gebiss</v>
      </c>
      <c r="G40" s="3" t="str">
        <f ca="1">IFERROR(__xludf.DUMMYFUNCTION("GOOGLETRANSLATE(A40,""en"",""it"")"),"Bittazione convertita")</f>
        <v>Bittazione convertita</v>
      </c>
      <c r="H40" s="3" t="str">
        <f ca="1">IFERROR(__xludf.DUMMYFUNCTION("GOOGLETRANSLATE(A40,""en"",""nl"")"),"Omgebouwd bijten")</f>
        <v>Omgebouwd bijten</v>
      </c>
      <c r="I40" s="3" t="str">
        <f ca="1">IFERROR(__xludf.DUMMYFUNCTION("GOOGLETRANSLATE(A40,""en"",""eu"")"),"Bihurtu Bitting")</f>
        <v>Bihurtu Bitting</v>
      </c>
      <c r="J40" s="3" t="str">
        <f ca="1">IFERROR(__xludf.DUMMYFUNCTION("GOOGLETRANSLATE(A40,""en"",""gl"")"),"Bitting convertido")</f>
        <v>Bitting convertido</v>
      </c>
      <c r="K40" s="3" t="str">
        <f ca="1">IFERROR(__xludf.DUMMYFUNCTION("GOOGLETRANSLATE(A40,""en"",""zh"")"),"转换咬合")</f>
        <v>转换咬合</v>
      </c>
    </row>
    <row r="41" spans="1:11" x14ac:dyDescent="0.2">
      <c r="A41" s="4" t="s">
        <v>50</v>
      </c>
      <c r="B41" s="3" t="str">
        <f t="shared" si="0"/>
        <v>Converted Bitting with '1' as Deepest</v>
      </c>
      <c r="C41" s="3" t="str">
        <f ca="1">IFERROR(__xludf.DUMMYFUNCTION("GOOGLETRANSLATE(A41,""en"",""es"")"),"Mordida convertida con '1' como la más profunda")</f>
        <v>Mordida convertida con '1' como la más profunda</v>
      </c>
      <c r="D41" s="3" t="str">
        <f ca="1">IFERROR(__xludf.DUMMYFUNCTION("GOOGLETRANSLATE(A41,""en"",""ca"")"),"Bitting convertit amb '1' com a més profund")</f>
        <v>Bitting convertit amb '1' com a més profund</v>
      </c>
      <c r="E41" s="3" t="str">
        <f ca="1">IFERROR(__xludf.DUMMYFUNCTION("GOOGLETRANSLATE(A41,""en"",""fr"")"),"Morsure convertie avec « 1 » comme plus profond")</f>
        <v>Morsure convertie avec « 1 » comme plus profond</v>
      </c>
      <c r="F41" s="3" t="str">
        <f ca="1">IFERROR(__xludf.DUMMYFUNCTION("GOOGLETRANSLATE(A41,""en"",""de"")"),"Konvertiertes Bitting mit „1“ als Tiefstes")</f>
        <v>Konvertiertes Bitting mit „1“ als Tiefstes</v>
      </c>
      <c r="G41" s="3" t="str">
        <f ca="1">IFERROR(__xludf.DUMMYFUNCTION("GOOGLETRANSLATE(A41,""en"",""it"")"),"Biting convertito con ""1"" come più profondo")</f>
        <v>Biting convertito con "1" come più profondo</v>
      </c>
      <c r="H41" s="3" t="str">
        <f ca="1">IFERROR(__xludf.DUMMYFUNCTION("GOOGLETRANSLATE(A41,""en"",""nl"")"),"Geconverteerd Bitting met '1' als diepste")</f>
        <v>Geconverteerd Bitting met '1' als diepste</v>
      </c>
      <c r="I41" s="3" t="str">
        <f ca="1">IFERROR(__xludf.DUMMYFUNCTION("GOOGLETRANSLATE(A41,""en"",""eu"")"),"Bihurtu Bitting '1' sakonena gisa")</f>
        <v>Bihurtu Bitting '1' sakonena gisa</v>
      </c>
      <c r="J41" s="3" t="str">
        <f ca="1">IFERROR(__xludf.DUMMYFUNCTION("GOOGLETRANSLATE(A41,""en"",""gl"")"),"Bitting convertido con '1' como Deepest")</f>
        <v>Bitting convertido con '1' como Deepest</v>
      </c>
      <c r="K41" s="3" t="str">
        <f ca="1">IFERROR(__xludf.DUMMYFUNCTION("GOOGLETRANSLATE(A41,""en"",""zh"")"),"以“1”为最深的转换咬合")</f>
        <v>以“1”为最深的转换咬合</v>
      </c>
    </row>
    <row r="42" spans="1:11" x14ac:dyDescent="0.2">
      <c r="A42" s="4" t="s">
        <v>51</v>
      </c>
      <c r="B42" s="3" t="str">
        <f t="shared" si="0"/>
        <v>Converted Bitting with '1' as Shallowest</v>
      </c>
      <c r="C42" s="3" t="str">
        <f ca="1">IFERROR(__xludf.DUMMYFUNCTION("GOOGLETRANSLATE(A42,""en"",""es"")"),"Bitting convertido con '1' como el más superficial")</f>
        <v>Bitting convertido con '1' como el más superficial</v>
      </c>
      <c r="D42" s="3" t="str">
        <f ca="1">IFERROR(__xludf.DUMMYFUNCTION("GOOGLETRANSLATE(A42,""en"",""ca"")"),"Bitting convertit amb '1' com a més profund")</f>
        <v>Bitting convertit amb '1' com a més profund</v>
      </c>
      <c r="E42" s="3" t="str">
        <f ca="1">IFERROR(__xludf.DUMMYFUNCTION("GOOGLETRANSLATE(A42,""en"",""fr"")"),"Morsure convertie avec « 1 » comme le moins profond")</f>
        <v>Morsure convertie avec « 1 » comme le moins profond</v>
      </c>
      <c r="F42" s="3" t="str">
        <f ca="1">IFERROR(__xludf.DUMMYFUNCTION("GOOGLETRANSLATE(A42,""en"",""de"")"),"Konvertiertes Bitting mit „1“ als Flachste")</f>
        <v>Konvertiertes Bitting mit „1“ als Flachste</v>
      </c>
      <c r="G42" s="3" t="str">
        <f ca="1">IFERROR(__xludf.DUMMYFUNCTION("GOOGLETRANSLATE(A42,""en"",""it"")"),"Biting convertito con ""1"" come più superficiale")</f>
        <v>Biting convertito con "1" come più superficiale</v>
      </c>
      <c r="H42" s="3" t="str">
        <f ca="1">IFERROR(__xludf.DUMMYFUNCTION("GOOGLETRANSLATE(A42,""en"",""nl"")"),"Geconverteerd Bitting met '1' als ondiepste")</f>
        <v>Geconverteerd Bitting met '1' als ondiepste</v>
      </c>
      <c r="I42" s="3" t="str">
        <f ca="1">IFERROR(__xludf.DUMMYFUNCTION("GOOGLETRANSLATE(A42,""en"",""eu"")"),"Bihurtu Bitting '1'-rekin Shalloest gisa")</f>
        <v>Bihurtu Bitting '1'-rekin Shalloest gisa</v>
      </c>
      <c r="J42" s="3" t="str">
        <f ca="1">IFERROR(__xludf.DUMMYFUNCTION("GOOGLETRANSLATE(A42,""en"",""gl"")"),"Bitting convertido con '1' como Shalloest")</f>
        <v>Bitting convertido con '1' como Shalloest</v>
      </c>
      <c r="K42" s="3" t="str">
        <f ca="1">IFERROR(__xludf.DUMMYFUNCTION("GOOGLETRANSLATE(A42,""en"",""zh"")"),"将“1”转换为最浅的咬合")</f>
        <v>将“1”转换为最浅的咬合</v>
      </c>
    </row>
    <row r="43" spans="1:11" x14ac:dyDescent="0.2">
      <c r="A43" s="4" t="s">
        <v>52</v>
      </c>
      <c r="B43" s="3" t="str">
        <f t="shared" si="0"/>
        <v>Conversion</v>
      </c>
      <c r="C43" s="3" t="str">
        <f ca="1">IFERROR(__xludf.DUMMYFUNCTION("GOOGLETRANSLATE(A43,""en"",""es"")"),"Conversión")</f>
        <v>Conversión</v>
      </c>
      <c r="D43" s="3" t="str">
        <f ca="1">IFERROR(__xludf.DUMMYFUNCTION("GOOGLETRANSLATE(A43,""en"",""ca"")"),"Conversió")</f>
        <v>Conversió</v>
      </c>
      <c r="E43" s="3" t="str">
        <f ca="1">IFERROR(__xludf.DUMMYFUNCTION("GOOGLETRANSLATE(A43,""en"",""fr"")"),"Conversion")</f>
        <v>Conversion</v>
      </c>
      <c r="F43" s="3" t="str">
        <f ca="1">IFERROR(__xludf.DUMMYFUNCTION("GOOGLETRANSLATE(A43,""en"",""de"")"),"Konvertierung")</f>
        <v>Konvertierung</v>
      </c>
      <c r="G43" s="3" t="str">
        <f ca="1">IFERROR(__xludf.DUMMYFUNCTION("GOOGLETRANSLATE(A43,""en"",""it"")"),"Conversione")</f>
        <v>Conversione</v>
      </c>
      <c r="H43" s="3" t="str">
        <f ca="1">IFERROR(__xludf.DUMMYFUNCTION("GOOGLETRANSLATE(A43,""en"",""nl"")"),"Conversie")</f>
        <v>Conversie</v>
      </c>
      <c r="I43" s="3" t="str">
        <f ca="1">IFERROR(__xludf.DUMMYFUNCTION("GOOGLETRANSLATE(A43,""en"",""eu"")"),"Bihurketa")</f>
        <v>Bihurketa</v>
      </c>
      <c r="J43" s="3" t="str">
        <f ca="1">IFERROR(__xludf.DUMMYFUNCTION("GOOGLETRANSLATE(A43,""en"",""gl"")"),"Conversión")</f>
        <v>Conversión</v>
      </c>
      <c r="K43" s="3" t="str">
        <f ca="1">IFERROR(__xludf.DUMMYFUNCTION("GOOGLETRANSLATE(A43,""en"",""zh"")"),"转换")</f>
        <v>转换</v>
      </c>
    </row>
    <row r="44" spans="1:11" x14ac:dyDescent="0.2">
      <c r="A44" s="4" t="s">
        <v>53</v>
      </c>
      <c r="B44" s="3" t="str">
        <f t="shared" si="0"/>
        <v>CORRECT!</v>
      </c>
      <c r="C44" s="3" t="str">
        <f ca="1">IFERROR(__xludf.DUMMYFUNCTION("GOOGLETRANSLATE(A44,""en"",""es"")"),"¡CORRECTO!")</f>
        <v>¡CORRECTO!</v>
      </c>
      <c r="D44" s="3" t="str">
        <f ca="1">IFERROR(__xludf.DUMMYFUNCTION("GOOGLETRANSLATE(A44,""en"",""ca"")"),"CORRECTE!")</f>
        <v>CORRECTE!</v>
      </c>
      <c r="E44" s="3" t="str">
        <f ca="1">IFERROR(__xludf.DUMMYFUNCTION("GOOGLETRANSLATE(A44,""en"",""fr"")"),"CORRECT!")</f>
        <v>CORRECT!</v>
      </c>
      <c r="F44" s="3" t="str">
        <f ca="1">IFERROR(__xludf.DUMMYFUNCTION("GOOGLETRANSLATE(A44,""en"",""de"")"),"RICHTIG!")</f>
        <v>RICHTIG!</v>
      </c>
      <c r="G44" s="3" t="str">
        <f ca="1">IFERROR(__xludf.DUMMYFUNCTION("GOOGLETRANSLATE(A44,""en"",""it"")"),"CORRETTO!")</f>
        <v>CORRETTO!</v>
      </c>
      <c r="H44" s="3" t="str">
        <f ca="1">IFERROR(__xludf.DUMMYFUNCTION("GOOGLETRANSLATE(A44,""en"",""nl"")"),"JUIST!")</f>
        <v>JUIST!</v>
      </c>
      <c r="I44" s="3" t="str">
        <f ca="1">IFERROR(__xludf.DUMMYFUNCTION("GOOGLETRANSLATE(A44,""en"",""eu"")"),"ZUZENA!")</f>
        <v>ZUZENA!</v>
      </c>
      <c r="J44" s="3" t="str">
        <f ca="1">IFERROR(__xludf.DUMMYFUNCTION("GOOGLETRANSLATE(A44,""en"",""gl"")"),"CORRECTO!")</f>
        <v>CORRECTO!</v>
      </c>
      <c r="K44" s="3" t="str">
        <f ca="1">IFERROR(__xludf.DUMMYFUNCTION("GOOGLETRANSLATE(A44,""en"",""zh"")"),"正确的！")</f>
        <v>正确的！</v>
      </c>
    </row>
    <row r="45" spans="1:11" x14ac:dyDescent="0.2">
      <c r="A45" s="4" t="s">
        <v>54</v>
      </c>
      <c r="B45" s="3" t="str">
        <f t="shared" si="0"/>
        <v>Current Database</v>
      </c>
      <c r="C45" s="3" t="str">
        <f ca="1">IFERROR(__xludf.DUMMYFUNCTION("GOOGLETRANSLATE(A45,""en"",""es"")"),"Base de datos actual")</f>
        <v>Base de datos actual</v>
      </c>
      <c r="D45" s="3" t="str">
        <f ca="1">IFERROR(__xludf.DUMMYFUNCTION("GOOGLETRANSLATE(A45,""en"",""ca"")"),"Base de dades actual")</f>
        <v>Base de dades actual</v>
      </c>
      <c r="E45" s="3" t="str">
        <f ca="1">IFERROR(__xludf.DUMMYFUNCTION("GOOGLETRANSLATE(A45,""en"",""fr"")"),"Base de données actuelle")</f>
        <v>Base de données actuelle</v>
      </c>
      <c r="F45" s="3" t="str">
        <f ca="1">IFERROR(__xludf.DUMMYFUNCTION("GOOGLETRANSLATE(A45,""en"",""de"")"),"Aktuelle Datenbank")</f>
        <v>Aktuelle Datenbank</v>
      </c>
      <c r="G45" s="3" t="str">
        <f ca="1">IFERROR(__xludf.DUMMYFUNCTION("GOOGLETRANSLATE(A45,""en"",""it"")"),"Banca dati corrente")</f>
        <v>Banca dati corrente</v>
      </c>
      <c r="H45" s="3" t="str">
        <f ca="1">IFERROR(__xludf.DUMMYFUNCTION("GOOGLETRANSLATE(A45,""en"",""nl"")"),"Huidige database")</f>
        <v>Huidige database</v>
      </c>
      <c r="I45" s="3" t="str">
        <f ca="1">IFERROR(__xludf.DUMMYFUNCTION("GOOGLETRANSLATE(A45,""en"",""eu"")"),"Egungo Datu-basea")</f>
        <v>Egungo Datu-basea</v>
      </c>
      <c r="J45" s="3" t="str">
        <f ca="1">IFERROR(__xludf.DUMMYFUNCTION("GOOGLETRANSLATE(A45,""en"",""gl"")"),"Base de datos actual")</f>
        <v>Base de datos actual</v>
      </c>
      <c r="K45" s="3" t="str">
        <f ca="1">IFERROR(__xludf.DUMMYFUNCTION("GOOGLETRANSLATE(A45,""en"",""zh"")"),"当前数据库")</f>
        <v>当前数据库</v>
      </c>
    </row>
    <row r="46" spans="1:11" x14ac:dyDescent="0.2">
      <c r="A46" s="4" t="s">
        <v>55</v>
      </c>
      <c r="B46" s="3" t="str">
        <f t="shared" si="0"/>
        <v>Database has been updated</v>
      </c>
      <c r="C46" s="3" t="str">
        <f ca="1">IFERROR(__xludf.DUMMYFUNCTION("GOOGLETRANSLATE(A46,""en"",""es"")"),"La base de datos ha sido actualizada.")</f>
        <v>La base de datos ha sido actualizada.</v>
      </c>
      <c r="D46" s="3" t="str">
        <f ca="1">IFERROR(__xludf.DUMMYFUNCTION("GOOGLETRANSLATE(A46,""en"",""ca"")"),"La base de dades s'ha actualitzat")</f>
        <v>La base de dades s'ha actualitzat</v>
      </c>
      <c r="E46" s="3" t="str">
        <f ca="1">IFERROR(__xludf.DUMMYFUNCTION("GOOGLETRANSLATE(A46,""en"",""fr"")"),"La base de données a été mise à jour")</f>
        <v>La base de données a été mise à jour</v>
      </c>
      <c r="F46" s="3" t="str">
        <f ca="1">IFERROR(__xludf.DUMMYFUNCTION("GOOGLETRANSLATE(A46,""en"",""de"")"),"Die Datenbank wurde aktualisiert")</f>
        <v>Die Datenbank wurde aktualisiert</v>
      </c>
      <c r="G46" s="3" t="str">
        <f ca="1">IFERROR(__xludf.DUMMYFUNCTION("GOOGLETRANSLATE(A46,""en"",""it"")"),"Il database è stato aggiornato")</f>
        <v>Il database è stato aggiornato</v>
      </c>
      <c r="H46" s="3" t="str">
        <f ca="1">IFERROR(__xludf.DUMMYFUNCTION("GOOGLETRANSLATE(A46,""en"",""nl"")"),"Database is bijgewerkt")</f>
        <v>Database is bijgewerkt</v>
      </c>
      <c r="I46" s="3" t="str">
        <f ca="1">IFERROR(__xludf.DUMMYFUNCTION("GOOGLETRANSLATE(A46,""en"",""eu"")"),"Datu-basea eguneratu da")</f>
        <v>Datu-basea eguneratu da</v>
      </c>
      <c r="J46" s="3" t="str">
        <f ca="1">IFERROR(__xludf.DUMMYFUNCTION("GOOGLETRANSLATE(A46,""en"",""gl"")"),"Actualizouse a base de datos")</f>
        <v>Actualizouse a base de datos</v>
      </c>
      <c r="K46" s="3" t="str">
        <f ca="1">IFERROR(__xludf.DUMMYFUNCTION("GOOGLETRANSLATE(A46,""en"",""zh"")"),"数据库已更新")</f>
        <v>数据库已更新</v>
      </c>
    </row>
    <row r="47" spans="1:11" x14ac:dyDescent="0.2">
      <c r="A47" s="4" t="s">
        <v>56</v>
      </c>
      <c r="B47" s="3" t="str">
        <f t="shared" si="0"/>
        <v>Database has not updated</v>
      </c>
      <c r="C47" s="3" t="str">
        <f ca="1">IFERROR(__xludf.DUMMYFUNCTION("GOOGLETRANSLATE(A47,""en"",""es"")"),"La base de datos no se ha actualizado")</f>
        <v>La base de datos no se ha actualizado</v>
      </c>
      <c r="D47" s="3" t="str">
        <f ca="1">IFERROR(__xludf.DUMMYFUNCTION("GOOGLETRANSLATE(A47,""en"",""ca"")"),"La base de dades no s'ha actualitzat")</f>
        <v>La base de dades no s'ha actualitzat</v>
      </c>
      <c r="E47" s="3" t="str">
        <f ca="1">IFERROR(__xludf.DUMMYFUNCTION("GOOGLETRANSLATE(A47,""en"",""fr"")"),"La base de données n'a pas été mise à jour")</f>
        <v>La base de données n'a pas été mise à jour</v>
      </c>
      <c r="F47" s="3" t="str">
        <f ca="1">IFERROR(__xludf.DUMMYFUNCTION("GOOGLETRANSLATE(A47,""en"",""de"")"),"Die Datenbank wurde nicht aktualisiert")</f>
        <v>Die Datenbank wurde nicht aktualisiert</v>
      </c>
      <c r="G47" s="3" t="str">
        <f ca="1">IFERROR(__xludf.DUMMYFUNCTION("GOOGLETRANSLATE(A47,""en"",""it"")"),"Il database non è stato aggiornato")</f>
        <v>Il database non è stato aggiornato</v>
      </c>
      <c r="H47" s="3" t="str">
        <f ca="1">IFERROR(__xludf.DUMMYFUNCTION("GOOGLETRANSLATE(A47,""en"",""nl"")"),"Database is niet bijgewerkt")</f>
        <v>Database is niet bijgewerkt</v>
      </c>
      <c r="I47" s="3" t="str">
        <f ca="1">IFERROR(__xludf.DUMMYFUNCTION("GOOGLETRANSLATE(A47,""en"",""eu"")"),"Datu-basea ez da eguneratu")</f>
        <v>Datu-basea ez da eguneratu</v>
      </c>
      <c r="J47" s="3" t="str">
        <f ca="1">IFERROR(__xludf.DUMMYFUNCTION("GOOGLETRANSLATE(A47,""en"",""gl"")"),"A base de datos non se actualizou")</f>
        <v>A base de datos non se actualizou</v>
      </c>
      <c r="K47" s="3" t="str">
        <f ca="1">IFERROR(__xludf.DUMMYFUNCTION("GOOGLETRANSLATE(A47,""en"",""zh"")"),"数据库尚未更新")</f>
        <v>数据库尚未更新</v>
      </c>
    </row>
    <row r="48" spans="1:11" x14ac:dyDescent="0.2">
      <c r="A48" s="4" t="s">
        <v>57</v>
      </c>
      <c r="B48" s="3" t="str">
        <f t="shared" si="0"/>
        <v>Database Updated</v>
      </c>
      <c r="C48" s="3" t="str">
        <f ca="1">IFERROR(__xludf.DUMMYFUNCTION("GOOGLETRANSLATE(A48,""en"",""es"")"),"Base de datos actualizada")</f>
        <v>Base de datos actualizada</v>
      </c>
      <c r="D48" s="3" t="str">
        <f ca="1">IFERROR(__xludf.DUMMYFUNCTION("GOOGLETRANSLATE(A48,""en"",""ca"")"),"Base de dades actualitzada")</f>
        <v>Base de dades actualitzada</v>
      </c>
      <c r="E48" s="3" t="str">
        <f ca="1">IFERROR(__xludf.DUMMYFUNCTION("GOOGLETRANSLATE(A48,""en"",""fr"")"),"Base de données mise à jour")</f>
        <v>Base de données mise à jour</v>
      </c>
      <c r="F48" s="3" t="str">
        <f ca="1">IFERROR(__xludf.DUMMYFUNCTION("GOOGLETRANSLATE(A48,""en"",""de"")"),"Datenbank aktualisiert")</f>
        <v>Datenbank aktualisiert</v>
      </c>
      <c r="G48" s="3" t="str">
        <f ca="1">IFERROR(__xludf.DUMMYFUNCTION("GOOGLETRANSLATE(A48,""en"",""it"")"),"Banca dati aggiornata")</f>
        <v>Banca dati aggiornata</v>
      </c>
      <c r="H48" s="3" t="str">
        <f ca="1">IFERROR(__xludf.DUMMYFUNCTION("GOOGLETRANSLATE(A48,""en"",""nl"")"),"Database bijgewerkt")</f>
        <v>Database bijgewerkt</v>
      </c>
      <c r="I48" s="3" t="str">
        <f ca="1">IFERROR(__xludf.DUMMYFUNCTION("GOOGLETRANSLATE(A48,""en"",""eu"")"),"Datu-basea eguneratua")</f>
        <v>Datu-basea eguneratua</v>
      </c>
      <c r="J48" s="3" t="str">
        <f ca="1">IFERROR(__xludf.DUMMYFUNCTION("GOOGLETRANSLATE(A48,""en"",""gl"")"),"Base de datos actualizada")</f>
        <v>Base de datos actualizada</v>
      </c>
      <c r="K48" s="3" t="str">
        <f ca="1">IFERROR(__xludf.DUMMYFUNCTION("GOOGLETRANSLATE(A48,""en"",""zh"")"),"数据库已更新")</f>
        <v>数据库已更新</v>
      </c>
    </row>
    <row r="49" spans="1:11" x14ac:dyDescent="0.2">
      <c r="A49" s="4" t="s">
        <v>58</v>
      </c>
      <c r="B49" s="3" t="str">
        <f t="shared" si="0"/>
        <v>DB Connection</v>
      </c>
      <c r="C49" s="3" t="str">
        <f ca="1">IFERROR(__xludf.DUMMYFUNCTION("GOOGLETRANSLATE(A49,""en"",""es"")"),"Conexión de base de datos")</f>
        <v>Conexión de base de datos</v>
      </c>
      <c r="D49" s="3" t="str">
        <f ca="1">IFERROR(__xludf.DUMMYFUNCTION("GOOGLETRANSLATE(A49,""en"",""ca"")"),"Connexió DB")</f>
        <v>Connexió DB</v>
      </c>
      <c r="E49" s="3" t="str">
        <f ca="1">IFERROR(__xludf.DUMMYFUNCTION("GOOGLETRANSLATE(A49,""en"",""fr"")"),"Connexion à la base de données")</f>
        <v>Connexion à la base de données</v>
      </c>
      <c r="F49" s="3" t="str">
        <f ca="1">IFERROR(__xludf.DUMMYFUNCTION("GOOGLETRANSLATE(A49,""en"",""de"")"),"DB-Verbindung")</f>
        <v>DB-Verbindung</v>
      </c>
      <c r="G49" s="3" t="str">
        <f ca="1">IFERROR(__xludf.DUMMYFUNCTION("GOOGLETRANSLATE(A49,""en"",""it"")"),"Connessione DB")</f>
        <v>Connessione DB</v>
      </c>
      <c r="H49" s="3" t="str">
        <f ca="1">IFERROR(__xludf.DUMMYFUNCTION("GOOGLETRANSLATE(A49,""en"",""nl"")"),"DB-verbinding")</f>
        <v>DB-verbinding</v>
      </c>
      <c r="I49" s="3" t="str">
        <f ca="1">IFERROR(__xludf.DUMMYFUNCTION("GOOGLETRANSLATE(A49,""en"",""eu"")"),"DB konexioa")</f>
        <v>DB konexioa</v>
      </c>
      <c r="J49" s="3" t="str">
        <f ca="1">IFERROR(__xludf.DUMMYFUNCTION("GOOGLETRANSLATE(A49,""en"",""gl"")"),"Conexión DB")</f>
        <v>Conexión DB</v>
      </c>
      <c r="K49" s="3" t="str">
        <f ca="1">IFERROR(__xludf.DUMMYFUNCTION("GOOGLETRANSLATE(A49,""en"",""zh"")"),"数据库连接")</f>
        <v>数据库连接</v>
      </c>
    </row>
    <row r="50" spans="1:11" x14ac:dyDescent="0.2">
      <c r="A50" s="4" t="s">
        <v>59</v>
      </c>
      <c r="B50" s="3" t="str">
        <f t="shared" si="0"/>
        <v>DB OK</v>
      </c>
      <c r="C50" s="3" t="str">
        <f ca="1">IFERROR(__xludf.DUMMYFUNCTION("GOOGLETRANSLATE(A50,""en"",""es"")"),"DB OK")</f>
        <v>DB OK</v>
      </c>
      <c r="D50" s="3" t="str">
        <f ca="1">IFERROR(__xludf.DUMMYFUNCTION("GOOGLETRANSLATE(A50,""en"",""ca"")"),"DB d'acord")</f>
        <v>DB d'acord</v>
      </c>
      <c r="E50" s="3" t="str">
        <f ca="1">IFERROR(__xludf.DUMMYFUNCTION("GOOGLETRANSLATE(A50,""en"",""fr"")"),"Base de données OK")</f>
        <v>Base de données OK</v>
      </c>
      <c r="F50" s="3" t="str">
        <f ca="1">IFERROR(__xludf.DUMMYFUNCTION("GOOGLETRANSLATE(A50,""en"",""de"")"),"DB OK")</f>
        <v>DB OK</v>
      </c>
      <c r="G50" s="3" t="str">
        <f ca="1">IFERROR(__xludf.DUMMYFUNCTION("GOOGLETRANSLATE(A50,""en"",""it"")"),"DB OK")</f>
        <v>DB OK</v>
      </c>
      <c r="H50" s="3" t="str">
        <f ca="1">IFERROR(__xludf.DUMMYFUNCTION("GOOGLETRANSLATE(A50,""en"",""nl"")"),"DB oké")</f>
        <v>DB oké</v>
      </c>
      <c r="I50" s="3" t="str">
        <f ca="1">IFERROR(__xludf.DUMMYFUNCTION("GOOGLETRANSLATE(A50,""en"",""eu"")"),"DB Ados")</f>
        <v>DB Ados</v>
      </c>
      <c r="J50" s="3" t="str">
        <f ca="1">IFERROR(__xludf.DUMMYFUNCTION("GOOGLETRANSLATE(A50,""en"",""gl"")"),"DB OK")</f>
        <v>DB OK</v>
      </c>
      <c r="K50" s="3" t="str">
        <f ca="1">IFERROR(__xludf.DUMMYFUNCTION("GOOGLETRANSLATE(A50,""en"",""zh"")"),"数据库正常")</f>
        <v>数据库正常</v>
      </c>
    </row>
    <row r="51" spans="1:11" x14ac:dyDescent="0.2">
      <c r="A51" s="4" t="s">
        <v>60</v>
      </c>
      <c r="B51" s="3" t="str">
        <f t="shared" si="0"/>
        <v>Decimal</v>
      </c>
      <c r="C51" s="3" t="str">
        <f ca="1">IFERROR(__xludf.DUMMYFUNCTION("GOOGLETRANSLATE(A51,""en"",""es"")"),"Decimal")</f>
        <v>Decimal</v>
      </c>
      <c r="D51" s="3" t="str">
        <f ca="1">IFERROR(__xludf.DUMMYFUNCTION("GOOGLETRANSLATE(A51,""en"",""ca"")"),"Decimal")</f>
        <v>Decimal</v>
      </c>
      <c r="E51" s="3" t="str">
        <f ca="1">IFERROR(__xludf.DUMMYFUNCTION("GOOGLETRANSLATE(A51,""en"",""fr"")"),"Décimal")</f>
        <v>Décimal</v>
      </c>
      <c r="F51" s="3" t="str">
        <f ca="1">IFERROR(__xludf.DUMMYFUNCTION("GOOGLETRANSLATE(A51,""en"",""de"")"),"Dezimal")</f>
        <v>Dezimal</v>
      </c>
      <c r="G51" s="3" t="str">
        <f ca="1">IFERROR(__xludf.DUMMYFUNCTION("GOOGLETRANSLATE(A51,""en"",""it"")"),"Decimale")</f>
        <v>Decimale</v>
      </c>
      <c r="H51" s="3" t="str">
        <f ca="1">IFERROR(__xludf.DUMMYFUNCTION("GOOGLETRANSLATE(A51,""en"",""nl"")"),"Decimale")</f>
        <v>Decimale</v>
      </c>
      <c r="I51" s="3" t="str">
        <f ca="1">IFERROR(__xludf.DUMMYFUNCTION("GOOGLETRANSLATE(A51,""en"",""eu"")"),"Hamartarra")</f>
        <v>Hamartarra</v>
      </c>
      <c r="J51" s="3" t="str">
        <f ca="1">IFERROR(__xludf.DUMMYFUNCTION("GOOGLETRANSLATE(A51,""en"",""gl"")"),"Decimal")</f>
        <v>Decimal</v>
      </c>
      <c r="K51" s="3" t="str">
        <f ca="1">IFERROR(__xludf.DUMMYFUNCTION("GOOGLETRANSLATE(A51,""en"",""zh"")"),"十进制")</f>
        <v>十进制</v>
      </c>
    </row>
    <row r="52" spans="1:11" x14ac:dyDescent="0.2">
      <c r="A52" s="4" t="s">
        <v>61</v>
      </c>
      <c r="B52" s="3" t="str">
        <f t="shared" si="0"/>
        <v>Decoding tools</v>
      </c>
      <c r="C52" s="3" t="str">
        <f ca="1">IFERROR(__xludf.DUMMYFUNCTION("GOOGLETRANSLATE(A52,""en"",""es"")"),"Herramientas de decodificación")</f>
        <v>Herramientas de decodificación</v>
      </c>
      <c r="D52" s="3" t="str">
        <f ca="1">IFERROR(__xludf.DUMMYFUNCTION("GOOGLETRANSLATE(A52,""en"",""ca"")"),"Eines de descodificació")</f>
        <v>Eines de descodificació</v>
      </c>
      <c r="E52" s="3" t="str">
        <f ca="1">IFERROR(__xludf.DUMMYFUNCTION("GOOGLETRANSLATE(A52,""en"",""fr"")"),"Outils de décodage")</f>
        <v>Outils de décodage</v>
      </c>
      <c r="F52" s="3" t="str">
        <f ca="1">IFERROR(__xludf.DUMMYFUNCTION("GOOGLETRANSLATE(A52,""en"",""de"")"),"Dekodierungswerkzeuge")</f>
        <v>Dekodierungswerkzeuge</v>
      </c>
      <c r="G52" s="3" t="str">
        <f ca="1">IFERROR(__xludf.DUMMYFUNCTION("GOOGLETRANSLATE(A52,""en"",""it"")"),"Strumenti di decodifica")</f>
        <v>Strumenti di decodifica</v>
      </c>
      <c r="H52" s="3" t="str">
        <f ca="1">IFERROR(__xludf.DUMMYFUNCTION("GOOGLETRANSLATE(A52,""en"",""nl"")"),"Decodeerhulpmiddelen")</f>
        <v>Decodeerhulpmiddelen</v>
      </c>
      <c r="I52" s="3" t="str">
        <f ca="1">IFERROR(__xludf.DUMMYFUNCTION("GOOGLETRANSLATE(A52,""en"",""eu"")"),"Deskodetzeko tresnak")</f>
        <v>Deskodetzeko tresnak</v>
      </c>
      <c r="J52" s="3" t="str">
        <f ca="1">IFERROR(__xludf.DUMMYFUNCTION("GOOGLETRANSLATE(A52,""en"",""gl"")"),"Ferramentas de decodificación")</f>
        <v>Ferramentas de decodificación</v>
      </c>
      <c r="K52" s="3" t="str">
        <f ca="1">IFERROR(__xludf.DUMMYFUNCTION("GOOGLETRANSLATE(A52,""en"",""zh"")"),"解码工具")</f>
        <v>解码工具</v>
      </c>
    </row>
    <row r="53" spans="1:11" x14ac:dyDescent="0.2">
      <c r="A53" s="4" t="s">
        <v>62</v>
      </c>
      <c r="B53" s="3" t="str">
        <f t="shared" si="0"/>
        <v>Default Key Machine</v>
      </c>
      <c r="C53" s="3" t="str">
        <f ca="1">IFERROR(__xludf.DUMMYFUNCTION("GOOGLETRANSLATE(A53,""en"",""es"")"),"Máquina clave predeterminada")</f>
        <v>Máquina clave predeterminada</v>
      </c>
      <c r="D53" s="3" t="str">
        <f ca="1">IFERROR(__xludf.DUMMYFUNCTION("GOOGLETRANSLATE(A53,""en"",""ca"")"),"Màquina de claus per defecte")</f>
        <v>Màquina de claus per defecte</v>
      </c>
      <c r="E53" s="3" t="str">
        <f ca="1">IFERROR(__xludf.DUMMYFUNCTION("GOOGLETRANSLATE(A53,""en"",""fr"")"),"Machine à clés par défaut")</f>
        <v>Machine à clés par défaut</v>
      </c>
      <c r="F53" s="3" t="str">
        <f ca="1">IFERROR(__xludf.DUMMYFUNCTION("GOOGLETRANSLATE(A53,""en"",""de"")"),"Standardschlüsselmaschine")</f>
        <v>Standardschlüsselmaschine</v>
      </c>
      <c r="G53" s="3" t="str">
        <f ca="1">IFERROR(__xludf.DUMMYFUNCTION("GOOGLETRANSLATE(A53,""en"",""it"")"),"Macchina per chiavi predefinita")</f>
        <v>Macchina per chiavi predefinita</v>
      </c>
      <c r="H53" s="3" t="str">
        <f ca="1">IFERROR(__xludf.DUMMYFUNCTION("GOOGLETRANSLATE(A53,""en"",""nl"")"),"Standaard sleutelmachine")</f>
        <v>Standaard sleutelmachine</v>
      </c>
      <c r="I53" s="3" t="str">
        <f ca="1">IFERROR(__xludf.DUMMYFUNCTION("GOOGLETRANSLATE(A53,""en"",""eu"")"),"Gako-makina lehenetsia")</f>
        <v>Gako-makina lehenetsia</v>
      </c>
      <c r="J53" s="3" t="str">
        <f ca="1">IFERROR(__xludf.DUMMYFUNCTION("GOOGLETRANSLATE(A53,""en"",""gl"")"),"Máquina de chaves predeterminada")</f>
        <v>Máquina de chaves predeterminada</v>
      </c>
      <c r="K53" s="3" t="str">
        <f ca="1">IFERROR(__xludf.DUMMYFUNCTION("GOOGLETRANSLATE(A53,""en"",""zh"")"),"默认钥匙机")</f>
        <v>默认钥匙机</v>
      </c>
    </row>
    <row r="54" spans="1:11" x14ac:dyDescent="0.2">
      <c r="A54" s="4" t="s">
        <v>63</v>
      </c>
      <c r="B54" s="3" t="str">
        <f t="shared" si="0"/>
        <v>Direction to Unlock</v>
      </c>
      <c r="C54" s="3" t="str">
        <f ca="1">IFERROR(__xludf.DUMMYFUNCTION("GOOGLETRANSLATE(A54,""en"",""es"")"),"Dirección para desbloquear")</f>
        <v>Dirección para desbloquear</v>
      </c>
      <c r="D54" s="3" t="str">
        <f ca="1">IFERROR(__xludf.DUMMYFUNCTION("GOOGLETRANSLATE(A54,""en"",""ca"")"),"Direcció per desbloquejar")</f>
        <v>Direcció per desbloquejar</v>
      </c>
      <c r="E54" s="3" t="str">
        <f ca="1">IFERROR(__xludf.DUMMYFUNCTION("GOOGLETRANSLATE(A54,""en"",""fr"")"),"Direction pour débloquer")</f>
        <v>Direction pour débloquer</v>
      </c>
      <c r="F54" s="3" t="str">
        <f ca="1">IFERROR(__xludf.DUMMYFUNCTION("GOOGLETRANSLATE(A54,""en"",""de"")"),"Richtung zum Entsperren")</f>
        <v>Richtung zum Entsperren</v>
      </c>
      <c r="G54" s="3" t="str">
        <f ca="1">IFERROR(__xludf.DUMMYFUNCTION("GOOGLETRANSLATE(A54,""en"",""it"")"),"Direzione per sbloccare")</f>
        <v>Direzione per sbloccare</v>
      </c>
      <c r="H54" s="3" t="str">
        <f ca="1">IFERROR(__xludf.DUMMYFUNCTION("GOOGLETRANSLATE(A54,""en"",""nl"")"),"Richting om te ontgrendelen")</f>
        <v>Richting om te ontgrendelen</v>
      </c>
      <c r="I54" s="3" t="str">
        <f ca="1">IFERROR(__xludf.DUMMYFUNCTION("GOOGLETRANSLATE(A54,""en"",""eu"")"),"Desblokeatzeko norabidea")</f>
        <v>Desblokeatzeko norabidea</v>
      </c>
      <c r="J54" s="3" t="str">
        <f ca="1">IFERROR(__xludf.DUMMYFUNCTION("GOOGLETRANSLATE(A54,""en"",""gl"")"),"Dirección para desbloquear")</f>
        <v>Dirección para desbloquear</v>
      </c>
      <c r="K54" s="3" t="str">
        <f ca="1">IFERROR(__xludf.DUMMYFUNCTION("GOOGLETRANSLATE(A54,""en"",""zh"")"),"解锁方向")</f>
        <v>解锁方向</v>
      </c>
    </row>
    <row r="55" spans="1:11" x14ac:dyDescent="0.2">
      <c r="A55" s="4" t="s">
        <v>64</v>
      </c>
      <c r="B55" s="3" t="str">
        <f t="shared" si="0"/>
        <v>Display Shortcut at startup</v>
      </c>
      <c r="C55" s="3" t="str">
        <f ca="1">IFERROR(__xludf.DUMMYFUNCTION("GOOGLETRANSLATE(A55,""en"",""es"")"),"Mostrar acceso directo al inicio")</f>
        <v>Mostrar acceso directo al inicio</v>
      </c>
      <c r="D55" s="3" t="str">
        <f ca="1">IFERROR(__xludf.DUMMYFUNCTION("GOOGLETRANSLATE(A55,""en"",""ca"")"),"Mostra la drecera a l'inici")</f>
        <v>Mostra la drecera a l'inici</v>
      </c>
      <c r="E55" s="3" t="str">
        <f ca="1">IFERROR(__xludf.DUMMYFUNCTION("GOOGLETRANSLATE(A55,""en"",""fr"")"),"Afficher le raccourci au démarrage")</f>
        <v>Afficher le raccourci au démarrage</v>
      </c>
      <c r="F55" s="3" t="str">
        <f ca="1">IFERROR(__xludf.DUMMYFUNCTION("GOOGLETRANSLATE(A55,""en"",""de"")"),"Verknüpfung beim Start anzeigen")</f>
        <v>Verknüpfung beim Start anzeigen</v>
      </c>
      <c r="G55" s="3" t="str">
        <f ca="1">IFERROR(__xludf.DUMMYFUNCTION("GOOGLETRANSLATE(A55,""en"",""it"")"),"Visualizza collegamento all'avvio")</f>
        <v>Visualizza collegamento all'avvio</v>
      </c>
      <c r="H55" s="3" t="str">
        <f ca="1">IFERROR(__xludf.DUMMYFUNCTION("GOOGLETRANSLATE(A55,""en"",""nl"")"),"Snelkoppeling weergeven bij opstarten")</f>
        <v>Snelkoppeling weergeven bij opstarten</v>
      </c>
      <c r="I55" s="3" t="str">
        <f ca="1">IFERROR(__xludf.DUMMYFUNCTION("GOOGLETRANSLATE(A55,""en"",""eu"")"),"Bistaratu lasterbidea abiaraztean")</f>
        <v>Bistaratu lasterbidea abiaraztean</v>
      </c>
      <c r="J55" s="3" t="str">
        <f ca="1">IFERROR(__xludf.DUMMYFUNCTION("GOOGLETRANSLATE(A55,""en"",""gl"")"),"Mostra o atallo ao inicio")</f>
        <v>Mostra o atallo ao inicio</v>
      </c>
      <c r="K55" s="3" t="str">
        <f ca="1">IFERROR(__xludf.DUMMYFUNCTION("GOOGLETRANSLATE(A55,""en"",""zh"")"),"启动时显示快捷方式")</f>
        <v>启动时显示快捷方式</v>
      </c>
    </row>
    <row r="56" spans="1:11" x14ac:dyDescent="0.2">
      <c r="A56" s="4" t="s">
        <v>65</v>
      </c>
      <c r="B56" s="3" t="str">
        <f t="shared" si="0"/>
        <v>Does Vehicle have Deadlocking</v>
      </c>
      <c r="C56" s="3" t="str">
        <f ca="1">IFERROR(__xludf.DUMMYFUNCTION("GOOGLETRANSLATE(A56,""en"",""es"")"),"¿El vehículo tiene interbloqueo?")</f>
        <v>¿El vehículo tiene interbloqueo?</v>
      </c>
      <c r="D56" s="3" t="str">
        <f ca="1">IFERROR(__xludf.DUMMYFUNCTION("GOOGLETRANSLATE(A56,""en"",""ca"")"),"El vehicle té bloqueig?")</f>
        <v>El vehicle té bloqueig?</v>
      </c>
      <c r="E56" s="3" t="str">
        <f ca="1">IFERROR(__xludf.DUMMYFUNCTION("GOOGLETRANSLATE(A56,""en"",""fr"")"),"Le véhicule a-t-il un superverrouillage")</f>
        <v>Le véhicule a-t-il un superverrouillage</v>
      </c>
      <c r="F56" s="3" t="str">
        <f ca="1">IFERROR(__xludf.DUMMYFUNCTION("GOOGLETRANSLATE(A56,""en"",""de"")"),"Verfügt das Fahrzeug über eine Blockierung?")</f>
        <v>Verfügt das Fahrzeug über eine Blockierung?</v>
      </c>
      <c r="G56" s="3" t="str">
        <f ca="1">IFERROR(__xludf.DUMMYFUNCTION("GOOGLETRANSLATE(A56,""en"",""it"")"),"Il veicolo è dotato di deadlock")</f>
        <v>Il veicolo è dotato di deadlock</v>
      </c>
      <c r="H56" s="3" t="str">
        <f ca="1">IFERROR(__xludf.DUMMYFUNCTION("GOOGLETRANSLATE(A56,""en"",""nl"")"),"Heeft het voertuig een deadlock?")</f>
        <v>Heeft het voertuig een deadlock?</v>
      </c>
      <c r="I56" s="3" t="str">
        <f ca="1">IFERROR(__xludf.DUMMYFUNCTION("GOOGLETRANSLATE(A56,""en"",""eu"")"),"Ibilgailuak blokeoa du")</f>
        <v>Ibilgailuak blokeoa du</v>
      </c>
      <c r="J56" s="3" t="str">
        <f ca="1">IFERROR(__xludf.DUMMYFUNCTION("GOOGLETRANSLATE(A56,""en"",""gl"")"),"O vehículo ten un punto morto")</f>
        <v>O vehículo ten un punto morto</v>
      </c>
      <c r="K56" s="3" t="str">
        <f ca="1">IFERROR(__xludf.DUMMYFUNCTION("GOOGLETRANSLATE(A56,""en"",""zh"")"),"车辆是否存在死锁")</f>
        <v>车辆是否存在死锁</v>
      </c>
    </row>
    <row r="57" spans="1:11" x14ac:dyDescent="0.2">
      <c r="A57" s="4" t="s">
        <v>66</v>
      </c>
      <c r="B57" s="3" t="str">
        <f t="shared" si="0"/>
        <v>DONE</v>
      </c>
      <c r="C57" s="3" t="str">
        <f ca="1">IFERROR(__xludf.DUMMYFUNCTION("GOOGLETRANSLATE(A57,""en"",""es"")"),"HECHO")</f>
        <v>HECHO</v>
      </c>
      <c r="D57" s="3" t="str">
        <f ca="1">IFERROR(__xludf.DUMMYFUNCTION("GOOGLETRANSLATE(A57,""en"",""ca"")"),"FET")</f>
        <v>FET</v>
      </c>
      <c r="E57" s="3" t="str">
        <f ca="1">IFERROR(__xludf.DUMMYFUNCTION("GOOGLETRANSLATE(A57,""en"",""fr"")"),"FAIT")</f>
        <v>FAIT</v>
      </c>
      <c r="F57" s="3" t="str">
        <f ca="1">IFERROR(__xludf.DUMMYFUNCTION("GOOGLETRANSLATE(A57,""en"",""de"")"),"ERLEDIGT")</f>
        <v>ERLEDIGT</v>
      </c>
      <c r="G57" s="3" t="str">
        <f ca="1">IFERROR(__xludf.DUMMYFUNCTION("GOOGLETRANSLATE(A57,""en"",""it"")"),"FATTO")</f>
        <v>FATTO</v>
      </c>
      <c r="H57" s="3" t="str">
        <f ca="1">IFERROR(__xludf.DUMMYFUNCTION("GOOGLETRANSLATE(A57,""en"",""nl"")"),"KLAAR")</f>
        <v>KLAAR</v>
      </c>
      <c r="I57" s="3" t="str">
        <f ca="1">IFERROR(__xludf.DUMMYFUNCTION("GOOGLETRANSLATE(A57,""en"",""eu"")"),"EGIN")</f>
        <v>EGIN</v>
      </c>
      <c r="J57" s="3" t="str">
        <f ca="1">IFERROR(__xludf.DUMMYFUNCTION("GOOGLETRANSLATE(A57,""en"",""gl"")"),"FEITO")</f>
        <v>FEITO</v>
      </c>
      <c r="K57" s="3" t="str">
        <f ca="1">IFERROR(__xludf.DUMMYFUNCTION("GOOGLETRANSLATE(A57,""en"",""zh"")"),"完毕")</f>
        <v>完毕</v>
      </c>
    </row>
    <row r="58" spans="1:11" x14ac:dyDescent="0.2">
      <c r="A58" s="4" t="s">
        <v>67</v>
      </c>
      <c r="B58" s="3" t="str">
        <f t="shared" si="0"/>
        <v>Download Complete</v>
      </c>
      <c r="C58" s="3" t="str">
        <f ca="1">IFERROR(__xludf.DUMMYFUNCTION("GOOGLETRANSLATE(A58,""en"",""es"")"),"Descarga completa")</f>
        <v>Descarga completa</v>
      </c>
      <c r="D58" s="3" t="str">
        <f ca="1">IFERROR(__xludf.DUMMYFUNCTION("GOOGLETRANSLATE(A58,""en"",""ca"")"),"Descàrrega completa")</f>
        <v>Descàrrega completa</v>
      </c>
      <c r="E58" s="3" t="str">
        <f ca="1">IFERROR(__xludf.DUMMYFUNCTION("GOOGLETRANSLATE(A58,""en"",""fr"")"),"Téléchargement terminé")</f>
        <v>Téléchargement terminé</v>
      </c>
      <c r="F58" s="3" t="str">
        <f ca="1">IFERROR(__xludf.DUMMYFUNCTION("GOOGLETRANSLATE(A58,""en"",""de"")"),"Download abgeschlossen")</f>
        <v>Download abgeschlossen</v>
      </c>
      <c r="G58" s="3" t="str">
        <f ca="1">IFERROR(__xludf.DUMMYFUNCTION("GOOGLETRANSLATE(A58,""en"",""it"")"),"Scarica completo")</f>
        <v>Scarica completo</v>
      </c>
      <c r="H58" s="3" t="str">
        <f ca="1">IFERROR(__xludf.DUMMYFUNCTION("GOOGLETRANSLATE(A58,""en"",""nl"")"),"Downloaden voltooid")</f>
        <v>Downloaden voltooid</v>
      </c>
      <c r="I58" s="3" t="str">
        <f ca="1">IFERROR(__xludf.DUMMYFUNCTION("GOOGLETRANSLATE(A58,""en"",""eu"")"),"Deskarga osoa")</f>
        <v>Deskarga osoa</v>
      </c>
      <c r="J58" s="3" t="str">
        <f ca="1">IFERROR(__xludf.DUMMYFUNCTION("GOOGLETRANSLATE(A58,""en"",""gl"")"),"Descarga completa")</f>
        <v>Descarga completa</v>
      </c>
      <c r="K58" s="3" t="str">
        <f ca="1">IFERROR(__xludf.DUMMYFUNCTION("GOOGLETRANSLATE(A58,""en"",""zh"")"),"下载完成")</f>
        <v>下载完成</v>
      </c>
    </row>
    <row r="59" spans="1:11" x14ac:dyDescent="0.2">
      <c r="A59" s="4" t="s">
        <v>68</v>
      </c>
      <c r="B59" s="3" t="str">
        <f t="shared" si="0"/>
        <v>Download Fail</v>
      </c>
      <c r="C59" s="3" t="str">
        <f ca="1">IFERROR(__xludf.DUMMYFUNCTION("GOOGLETRANSLATE(A59,""en"",""es"")"),"Error de descarga")</f>
        <v>Error de descarga</v>
      </c>
      <c r="D59" s="3" t="str">
        <f ca="1">IFERROR(__xludf.DUMMYFUNCTION("GOOGLETRANSLATE(A59,""en"",""ca"")"),"Falla de descàrrega")</f>
        <v>Falla de descàrrega</v>
      </c>
      <c r="E59" s="3" t="str">
        <f ca="1">IFERROR(__xludf.DUMMYFUNCTION("GOOGLETRANSLATE(A59,""en"",""fr"")"),"Échec du téléchargement")</f>
        <v>Échec du téléchargement</v>
      </c>
      <c r="F59" s="3" t="str">
        <f ca="1">IFERROR(__xludf.DUMMYFUNCTION("GOOGLETRANSLATE(A59,""en"",""de"")"),"Download fehlgeschlagen")</f>
        <v>Download fehlgeschlagen</v>
      </c>
      <c r="G59" s="3" t="str">
        <f ca="1">IFERROR(__xludf.DUMMYFUNCTION("GOOGLETRANSLATE(A59,""en"",""it"")"),"Scarica Fallire")</f>
        <v>Scarica Fallire</v>
      </c>
      <c r="H59" s="3" t="str">
        <f ca="1">IFERROR(__xludf.DUMMYFUNCTION("GOOGLETRANSLATE(A59,""en"",""nl"")"),"Downloaden mislukt")</f>
        <v>Downloaden mislukt</v>
      </c>
      <c r="I59" s="3" t="str">
        <f ca="1">IFERROR(__xludf.DUMMYFUNCTION("GOOGLETRANSLATE(A59,""en"",""eu"")"),"Deskargatu huts egin")</f>
        <v>Deskargatu huts egin</v>
      </c>
      <c r="J59" s="3" t="str">
        <f ca="1">IFERROR(__xludf.DUMMYFUNCTION("GOOGLETRANSLATE(A59,""en"",""gl"")"),"Fallo de descarga")</f>
        <v>Fallo de descarga</v>
      </c>
      <c r="K59" s="3" t="str">
        <f ca="1">IFERROR(__xludf.DUMMYFUNCTION("GOOGLETRANSLATE(A59,""en"",""zh"")"),"下载失败")</f>
        <v>下载失败</v>
      </c>
    </row>
    <row r="60" spans="1:11" x14ac:dyDescent="0.2">
      <c r="A60" s="4" t="s">
        <v>69</v>
      </c>
      <c r="B60" s="3" t="str">
        <f t="shared" si="0"/>
        <v>Downloading Database</v>
      </c>
      <c r="C60" s="3" t="str">
        <f ca="1">IFERROR(__xludf.DUMMYFUNCTION("GOOGLETRANSLATE(A60,""en"",""es"")"),"Descargando base de datos")</f>
        <v>Descargando base de datos</v>
      </c>
      <c r="D60" s="3" t="str">
        <f ca="1">IFERROR(__xludf.DUMMYFUNCTION("GOOGLETRANSLATE(A60,""en"",""ca"")"),"Descàrrega de la base de dades")</f>
        <v>Descàrrega de la base de dades</v>
      </c>
      <c r="E60" s="3" t="str">
        <f ca="1">IFERROR(__xludf.DUMMYFUNCTION("GOOGLETRANSLATE(A60,""en"",""fr"")"),"Téléchargement de la base de données")</f>
        <v>Téléchargement de la base de données</v>
      </c>
      <c r="F60" s="3" t="str">
        <f ca="1">IFERROR(__xludf.DUMMYFUNCTION("GOOGLETRANSLATE(A60,""en"",""de"")"),"Datenbank herunterladen")</f>
        <v>Datenbank herunterladen</v>
      </c>
      <c r="G60" s="3" t="str">
        <f ca="1">IFERROR(__xludf.DUMMYFUNCTION("GOOGLETRANSLATE(A60,""en"",""it"")"),"Download della banca dati")</f>
        <v>Download della banca dati</v>
      </c>
      <c r="H60" s="3" t="str">
        <f ca="1">IFERROR(__xludf.DUMMYFUNCTION("GOOGLETRANSLATE(A60,""en"",""nl"")"),"Database downloaden")</f>
        <v>Database downloaden</v>
      </c>
      <c r="I60" s="3" t="str">
        <f ca="1">IFERROR(__xludf.DUMMYFUNCTION("GOOGLETRANSLATE(A60,""en"",""eu"")"),"Datu-basea deskargatzen")</f>
        <v>Datu-basea deskargatzen</v>
      </c>
      <c r="J60" s="3" t="str">
        <f ca="1">IFERROR(__xludf.DUMMYFUNCTION("GOOGLETRANSLATE(A60,""en"",""gl"")"),"Descargando base de datos")</f>
        <v>Descargando base de datos</v>
      </c>
      <c r="K60" s="3" t="str">
        <f ca="1">IFERROR(__xludf.DUMMYFUNCTION("GOOGLETRANSLATE(A60,""en"",""zh"")"),"下载数据库")</f>
        <v>下载数据库</v>
      </c>
    </row>
    <row r="61" spans="1:11" x14ac:dyDescent="0.2">
      <c r="A61" s="4" t="s">
        <v>70</v>
      </c>
      <c r="B61" s="3" t="str">
        <f t="shared" si="0"/>
        <v>Edit Account</v>
      </c>
      <c r="C61" s="3" t="str">
        <f ca="1">IFERROR(__xludf.DUMMYFUNCTION("GOOGLETRANSLATE(A61,""en"",""es"")"),"Editar cuenta")</f>
        <v>Editar cuenta</v>
      </c>
      <c r="D61" s="3" t="str">
        <f ca="1">IFERROR(__xludf.DUMMYFUNCTION("GOOGLETRANSLATE(A61,""en"",""ca"")"),"Edita el compte")</f>
        <v>Edita el compte</v>
      </c>
      <c r="E61" s="3" t="str">
        <f ca="1">IFERROR(__xludf.DUMMYFUNCTION("GOOGLETRANSLATE(A61,""en"",""fr"")"),"Modifier le compte")</f>
        <v>Modifier le compte</v>
      </c>
      <c r="F61" s="3" t="str">
        <f ca="1">IFERROR(__xludf.DUMMYFUNCTION("GOOGLETRANSLATE(A61,""en"",""de"")"),"Konto bearbeiten")</f>
        <v>Konto bearbeiten</v>
      </c>
      <c r="G61" s="3" t="str">
        <f ca="1">IFERROR(__xludf.DUMMYFUNCTION("GOOGLETRANSLATE(A61,""en"",""it"")"),"Modifica account")</f>
        <v>Modifica account</v>
      </c>
      <c r="H61" s="3" t="str">
        <f ca="1">IFERROR(__xludf.DUMMYFUNCTION("GOOGLETRANSLATE(A61,""en"",""nl"")"),"Account bewerken")</f>
        <v>Account bewerken</v>
      </c>
      <c r="I61" s="3" t="str">
        <f ca="1">IFERROR(__xludf.DUMMYFUNCTION("GOOGLETRANSLATE(A61,""en"",""eu"")"),"Editatu kontua")</f>
        <v>Editatu kontua</v>
      </c>
      <c r="J61" s="3" t="str">
        <f ca="1">IFERROR(__xludf.DUMMYFUNCTION("GOOGLETRANSLATE(A61,""en"",""gl"")"),"Editar conta")</f>
        <v>Editar conta</v>
      </c>
      <c r="K61" s="3" t="str">
        <f ca="1">IFERROR(__xludf.DUMMYFUNCTION("GOOGLETRANSLATE(A61,""en"",""zh"")"),"编辑帐户")</f>
        <v>编辑帐户</v>
      </c>
    </row>
    <row r="62" spans="1:11" x14ac:dyDescent="0.2">
      <c r="A62" s="4" t="s">
        <v>71</v>
      </c>
      <c r="B62" s="3" t="str">
        <f t="shared" si="0"/>
        <v>End date if known</v>
      </c>
      <c r="C62" s="3" t="str">
        <f ca="1">IFERROR(__xludf.DUMMYFUNCTION("GOOGLETRANSLATE(A62,""en"",""es"")"),"Fecha de finalización si se conoce")</f>
        <v>Fecha de finalización si se conoce</v>
      </c>
      <c r="D62" s="3" t="str">
        <f ca="1">IFERROR(__xludf.DUMMYFUNCTION("GOOGLETRANSLATE(A62,""en"",""ca"")"),"Data de finalització si es coneix")</f>
        <v>Data de finalització si es coneix</v>
      </c>
      <c r="E62" s="3" t="str">
        <f ca="1">IFERROR(__xludf.DUMMYFUNCTION("GOOGLETRANSLATE(A62,""en"",""fr"")"),"Date de fin si connue")</f>
        <v>Date de fin si connue</v>
      </c>
      <c r="F62" s="3" t="str">
        <f ca="1">IFERROR(__xludf.DUMMYFUNCTION("GOOGLETRANSLATE(A62,""en"",""de"")"),"Enddatum, falls bekannt")</f>
        <v>Enddatum, falls bekannt</v>
      </c>
      <c r="G62" s="3" t="str">
        <f ca="1">IFERROR(__xludf.DUMMYFUNCTION("GOOGLETRANSLATE(A62,""en"",""it"")"),"Data di fine se nota")</f>
        <v>Data di fine se nota</v>
      </c>
      <c r="H62" s="3" t="str">
        <f ca="1">IFERROR(__xludf.DUMMYFUNCTION("GOOGLETRANSLATE(A62,""en"",""nl"")"),"Einddatum indien bekend")</f>
        <v>Einddatum indien bekend</v>
      </c>
      <c r="I62" s="3" t="str">
        <f ca="1">IFERROR(__xludf.DUMMYFUNCTION("GOOGLETRANSLATE(A62,""en"",""eu"")"),"Amaiera data ezagutzen bada")</f>
        <v>Amaiera data ezagutzen bada</v>
      </c>
      <c r="J62" s="3" t="str">
        <f ca="1">IFERROR(__xludf.DUMMYFUNCTION("GOOGLETRANSLATE(A62,""en"",""gl"")"),"Data de finalización se se coñece")</f>
        <v>Data de finalización se se coñece</v>
      </c>
      <c r="K62" s="3" t="str">
        <f ca="1">IFERROR(__xludf.DUMMYFUNCTION("GOOGLETRANSLATE(A62,""en"",""zh"")"),"结束日期（如果已知）")</f>
        <v>结束日期（如果已知）</v>
      </c>
    </row>
    <row r="63" spans="1:11" x14ac:dyDescent="0.2">
      <c r="A63" s="4" t="s">
        <v>72</v>
      </c>
      <c r="B63" s="3" t="str">
        <f t="shared" si="0"/>
        <v>Enter 4 hex digits from position 6 &amp; 7 from dump</v>
      </c>
      <c r="C63" s="3" t="str">
        <f ca="1">IFERROR(__xludf.DUMMYFUNCTION("GOOGLETRANSLATE(A63,""en"",""es"")"),"Ingrese 4 dígitos hexadecimales desde las posiciones 6 y 7 del volcado")</f>
        <v>Ingrese 4 dígitos hexadecimales desde las posiciones 6 y 7 del volcado</v>
      </c>
      <c r="D63" s="3" t="str">
        <f ca="1">IFERROR(__xludf.DUMMYFUNCTION("GOOGLETRANSLATE(A63,""en"",""ca"")"),"Introduïu 4 dígits hexadecimals de la posició 6 i 7 de l'abocament")</f>
        <v>Introduïu 4 dígits hexadecimals de la posició 6 i 7 de l'abocament</v>
      </c>
      <c r="E63" s="3" t="str">
        <f ca="1">IFERROR(__xludf.DUMMYFUNCTION("GOOGLETRANSLATE(A63,""en"",""fr"")"),"Entrez 4 chiffres hexadécimaux à partir des positions 6 et 7 du dump")</f>
        <v>Entrez 4 chiffres hexadécimaux à partir des positions 6 et 7 du dump</v>
      </c>
      <c r="F63" s="3" t="str">
        <f ca="1">IFERROR(__xludf.DUMMYFUNCTION("GOOGLETRANSLATE(A63,""en"",""de"")"),"Geben Sie 4 Hexadezimalziffern von Position 6 und 7 aus dem Dump ein")</f>
        <v>Geben Sie 4 Hexadezimalziffern von Position 6 und 7 aus dem Dump ein</v>
      </c>
      <c r="G63" s="3" t="str">
        <f ca="1">IFERROR(__xludf.DUMMYFUNCTION("GOOGLETRANSLATE(A63,""en"",""it"")"),"Inserisci 4 cifre esadecimali dalla posizione 6 e 7 dal dump")</f>
        <v>Inserisci 4 cifre esadecimali dalla posizione 6 e 7 dal dump</v>
      </c>
      <c r="H63" s="3" t="str">
        <f ca="1">IFERROR(__xludf.DUMMYFUNCTION("GOOGLETRANSLATE(A63,""en"",""nl"")"),"Voer 4 hexadecimale cijfers in vanaf positie 6 en 7 uit de dump")</f>
        <v>Voer 4 hexadecimale cijfers in vanaf positie 6 en 7 uit de dump</v>
      </c>
      <c r="I63" s="3" t="str">
        <f ca="1">IFERROR(__xludf.DUMMYFUNCTION("GOOGLETRANSLATE(A63,""en"",""eu"")"),"Idatzi 4 zifra hexadezimalak 6 eta 7 posiziotik zabortegitik")</f>
        <v>Idatzi 4 zifra hexadezimalak 6 eta 7 posiziotik zabortegitik</v>
      </c>
      <c r="J63" s="3" t="str">
        <f ca="1">IFERROR(__xludf.DUMMYFUNCTION("GOOGLETRANSLATE(A63,""en"",""gl"")"),"Introduza 4 díxitos hexadecimales desde as posicións 6 e 7 do vertedoiro")</f>
        <v>Introduza 4 díxitos hexadecimales desde as posicións 6 e 7 do vertedoiro</v>
      </c>
      <c r="K63" s="3" t="str">
        <f ca="1">IFERROR(__xludf.DUMMYFUNCTION("GOOGLETRANSLATE(A63,""en"",""zh"")"),"从转储中的位置 6 和 7 输入 4 个十六进制数字")</f>
        <v>从转储中的位置 6 和 7 输入 4 个十六进制数字</v>
      </c>
    </row>
    <row r="64" spans="1:11" x14ac:dyDescent="0.2">
      <c r="A64" s="4" t="s">
        <v>73</v>
      </c>
      <c r="B64" s="3" t="str">
        <f t="shared" si="0"/>
        <v>enter this into most key cutting machines</v>
      </c>
      <c r="C64" s="3" t="str">
        <f ca="1">IFERROR(__xludf.DUMMYFUNCTION("GOOGLETRANSLATE(A64,""en"",""es"")"),"Introduzca esto en la mayoría de las máquinas cortadoras de llaves.")</f>
        <v>Introduzca esto en la mayoría de las máquinas cortadoras de llaves.</v>
      </c>
      <c r="D64" s="3" t="str">
        <f ca="1">IFERROR(__xludf.DUMMYFUNCTION("GOOGLETRANSLATE(A64,""en"",""ca"")"),"introduïu-ho a la majoria de màquines de tall clau")</f>
        <v>introduïu-ho a la majoria de màquines de tall clau</v>
      </c>
      <c r="E64" s="3" t="str">
        <f ca="1">IFERROR(__xludf.DUMMYFUNCTION("GOOGLETRANSLATE(A64,""en"",""fr"")"),"entrez-le dans la plupart des machines à tailler les clés")</f>
        <v>entrez-le dans la plupart des machines à tailler les clés</v>
      </c>
      <c r="F64" s="3" t="str">
        <f ca="1">IFERROR(__xludf.DUMMYFUNCTION("GOOGLETRANSLATE(A64,""en"",""de"")"),"Geben Sie dies in die meisten Schlüsselfräsmaschinen ein")</f>
        <v>Geben Sie dies in die meisten Schlüsselfräsmaschinen ein</v>
      </c>
      <c r="G64" s="3" t="str">
        <f ca="1">IFERROR(__xludf.DUMMYFUNCTION("GOOGLETRANSLATE(A64,""en"",""it"")"),"inseriscilo nella maggior parte delle duplicatrici")</f>
        <v>inseriscilo nella maggior parte delle duplicatrici</v>
      </c>
      <c r="H64" s="3" t="str">
        <f ca="1">IFERROR(__xludf.DUMMYFUNCTION("GOOGLETRANSLATE(A64,""en"",""nl"")"),"voer dit in de meeste sleutelsnijmachines in")</f>
        <v>voer dit in de meeste sleutelsnijmachines in</v>
      </c>
      <c r="I64" s="3" t="str">
        <f ca="1">IFERROR(__xludf.DUMMYFUNCTION("GOOGLETRANSLATE(A64,""en"",""eu"")"),"sartu hau giltza mozteko makina gehienetan")</f>
        <v>sartu hau giltza mozteko makina gehienetan</v>
      </c>
      <c r="J64" s="3" t="str">
        <f ca="1">IFERROR(__xludf.DUMMYFUNCTION("GOOGLETRANSLATE(A64,""en"",""gl"")"),"introduza isto na maioría das máquinas de corte de chaves")</f>
        <v>introduza isto na maioría das máquinas de corte de chaves</v>
      </c>
      <c r="K64" s="3" t="str">
        <f ca="1">IFERROR(__xludf.DUMMYFUNCTION("GOOGLETRANSLATE(A64,""en"",""zh"")"),"将其输入到大多数钥匙切割机中")</f>
        <v>将其输入到大多数钥匙切割机中</v>
      </c>
    </row>
    <row r="65" spans="1:11" x14ac:dyDescent="0.2">
      <c r="A65" s="4" t="s">
        <v>74</v>
      </c>
      <c r="B65" s="3" t="str">
        <f t="shared" si="0"/>
        <v>Entered Bitting</v>
      </c>
      <c r="C65" s="3" t="str">
        <f ca="1">IFERROR(__xludf.DUMMYFUNCTION("GOOGLETRANSLATE(A65,""en"",""es"")"),"Entró a morder")</f>
        <v>Entró a morder</v>
      </c>
      <c r="D65" s="3" t="str">
        <f ca="1">IFERROR(__xludf.DUMMYFUNCTION("GOOGLETRANSLATE(A65,""en"",""ca"")"),"Ha entrat en Bitting")</f>
        <v>Ha entrat en Bitting</v>
      </c>
      <c r="E65" s="3" t="str">
        <f ca="1">IFERROR(__xludf.DUMMYFUNCTION("GOOGLETRANSLATE(A65,""en"",""fr"")"),"Entré mordant")</f>
        <v>Entré mordant</v>
      </c>
      <c r="F65" s="3" t="str">
        <f ca="1">IFERROR(__xludf.DUMMYFUNCTION("GOOGLETRANSLATE(A65,""en"",""de"")"),"Bitting eingegeben")</f>
        <v>Bitting eingegeben</v>
      </c>
      <c r="G65" s="3" t="str">
        <f ca="1">IFERROR(__xludf.DUMMYFUNCTION("GOOGLETRANSLATE(A65,""en"",""it"")"),"Inserito Bitting")</f>
        <v>Inserito Bitting</v>
      </c>
      <c r="H65" s="3" t="str">
        <f ca="1">IFERROR(__xludf.DUMMYFUNCTION("GOOGLETRANSLATE(A65,""en"",""nl"")"),"Bieten binnengekomen")</f>
        <v>Bieten binnengekomen</v>
      </c>
      <c r="I65" s="3" t="str">
        <f ca="1">IFERROR(__xludf.DUMMYFUNCTION("GOOGLETRANSLATE(A65,""en"",""eu"")"),"Bitting sartu da")</f>
        <v>Bitting sartu da</v>
      </c>
      <c r="J65" s="3" t="str">
        <f ca="1">IFERROR(__xludf.DUMMYFUNCTION("GOOGLETRANSLATE(A65,""en"",""gl"")"),"Entrou Bitting")</f>
        <v>Entrou Bitting</v>
      </c>
      <c r="K65" s="3" t="str">
        <f ca="1">IFERROR(__xludf.DUMMYFUNCTION("GOOGLETRANSLATE(A65,""en"",""zh"")"),"进入咬合状态")</f>
        <v>进入咬合状态</v>
      </c>
    </row>
    <row r="66" spans="1:11" x14ac:dyDescent="0.2">
      <c r="A66" s="4" t="s">
        <v>75</v>
      </c>
      <c r="B66" s="3" t="str">
        <f t="shared" si="0"/>
        <v>Enter VIN</v>
      </c>
      <c r="C66" s="3" t="str">
        <f ca="1">IFERROR(__xludf.DUMMYFUNCTION("GOOGLETRANSLATE(A66,""en"",""es"")"),"Ingrese el número de bastidor")</f>
        <v>Ingrese el número de bastidor</v>
      </c>
      <c r="D66" s="3" t="str">
        <f ca="1">IFERROR(__xludf.DUMMYFUNCTION("GOOGLETRANSLATE(A66,""en"",""ca"")"),"Introduïu el VIN")</f>
        <v>Introduïu el VIN</v>
      </c>
      <c r="E66" s="3" t="str">
        <f ca="1">IFERROR(__xludf.DUMMYFUNCTION("GOOGLETRANSLATE(A66,""en"",""fr"")"),"Entrez le NIV")</f>
        <v>Entrez le NIV</v>
      </c>
      <c r="F66" s="3" t="str">
        <f ca="1">IFERROR(__xludf.DUMMYFUNCTION("GOOGLETRANSLATE(A66,""en"",""de"")"),"Geben Sie die Fahrgestellnummer ein")</f>
        <v>Geben Sie die Fahrgestellnummer ein</v>
      </c>
      <c r="G66" s="3" t="str">
        <f ca="1">IFERROR(__xludf.DUMMYFUNCTION("GOOGLETRANSLATE(A66,""en"",""it"")"),"Inserisci il VIN")</f>
        <v>Inserisci il VIN</v>
      </c>
      <c r="H66" s="3" t="str">
        <f ca="1">IFERROR(__xludf.DUMMYFUNCTION("GOOGLETRANSLATE(A66,""en"",""nl"")"),"Voer VIN in")</f>
        <v>Voer VIN in</v>
      </c>
      <c r="I66" s="3" t="str">
        <f ca="1">IFERROR(__xludf.DUMMYFUNCTION("GOOGLETRANSLATE(A66,""en"",""eu"")"),"Sartu VIN")</f>
        <v>Sartu VIN</v>
      </c>
      <c r="J66" s="3" t="str">
        <f ca="1">IFERROR(__xludf.DUMMYFUNCTION("GOOGLETRANSLATE(A66,""en"",""gl"")"),"Introduza o VIN")</f>
        <v>Introduza o VIN</v>
      </c>
      <c r="K66" s="3" t="str">
        <f ca="1">IFERROR(__xludf.DUMMYFUNCTION("GOOGLETRANSLATE(A66,""en"",""zh"")"),"输入车辆识别号")</f>
        <v>输入车辆识别号</v>
      </c>
    </row>
    <row r="67" spans="1:11" x14ac:dyDescent="0.2">
      <c r="A67" s="4" t="s">
        <v>76</v>
      </c>
      <c r="B67" s="3" t="str">
        <f t="shared" si="0"/>
        <v>Error!</v>
      </c>
      <c r="C67" s="3" t="str">
        <f ca="1">IFERROR(__xludf.DUMMYFUNCTION("GOOGLETRANSLATE(A67,""en"",""es"")"),"¡Error!")</f>
        <v>¡Error!</v>
      </c>
      <c r="D67" s="3" t="str">
        <f ca="1">IFERROR(__xludf.DUMMYFUNCTION("GOOGLETRANSLATE(A67,""en"",""ca"")"),"Error!")</f>
        <v>Error!</v>
      </c>
      <c r="E67" s="3" t="str">
        <f ca="1">IFERROR(__xludf.DUMMYFUNCTION("GOOGLETRANSLATE(A67,""en"",""fr"")"),"Erreur!")</f>
        <v>Erreur!</v>
      </c>
      <c r="F67" s="3" t="str">
        <f ca="1">IFERROR(__xludf.DUMMYFUNCTION("GOOGLETRANSLATE(A67,""en"",""de"")"),"Fehler!")</f>
        <v>Fehler!</v>
      </c>
      <c r="G67" s="3" t="str">
        <f ca="1">IFERROR(__xludf.DUMMYFUNCTION("GOOGLETRANSLATE(A67,""en"",""it"")"),"Errore!")</f>
        <v>Errore!</v>
      </c>
      <c r="H67" s="3" t="str">
        <f ca="1">IFERROR(__xludf.DUMMYFUNCTION("GOOGLETRANSLATE(A67,""en"",""nl"")"),"Fout!")</f>
        <v>Fout!</v>
      </c>
      <c r="I67" s="3" t="str">
        <f ca="1">IFERROR(__xludf.DUMMYFUNCTION("GOOGLETRANSLATE(A67,""en"",""eu"")"),"Errorea!")</f>
        <v>Errorea!</v>
      </c>
      <c r="J67" s="3" t="str">
        <f ca="1">IFERROR(__xludf.DUMMYFUNCTION("GOOGLETRANSLATE(A67,""en"",""gl"")"),"Erro!")</f>
        <v>Erro!</v>
      </c>
      <c r="K67" s="3" t="str">
        <f ca="1">IFERROR(__xludf.DUMMYFUNCTION("GOOGLETRANSLATE(A67,""en"",""zh"")"),"错误！")</f>
        <v>错误！</v>
      </c>
    </row>
    <row r="68" spans="1:11" x14ac:dyDescent="0.2">
      <c r="A68" s="4" t="s">
        <v>77</v>
      </c>
      <c r="B68" s="3" t="str">
        <f t="shared" si="0"/>
        <v>Error connecting</v>
      </c>
      <c r="C68" s="3" t="str">
        <f ca="1">IFERROR(__xludf.DUMMYFUNCTION("GOOGLETRANSLATE(A68,""en"",""es"")"),"Error al conectar")</f>
        <v>Error al conectar</v>
      </c>
      <c r="D68" s="3" t="str">
        <f ca="1">IFERROR(__xludf.DUMMYFUNCTION("GOOGLETRANSLATE(A68,""en"",""ca"")"),"Error en connectar")</f>
        <v>Error en connectar</v>
      </c>
      <c r="E68" s="3" t="str">
        <f ca="1">IFERROR(__xludf.DUMMYFUNCTION("GOOGLETRANSLATE(A68,""en"",""fr"")"),"Erreur de connexion")</f>
        <v>Erreur de connexion</v>
      </c>
      <c r="F68" s="3" t="str">
        <f ca="1">IFERROR(__xludf.DUMMYFUNCTION("GOOGLETRANSLATE(A68,""en"",""de"")"),"Fehler beim Verbinden")</f>
        <v>Fehler beim Verbinden</v>
      </c>
      <c r="G68" s="3" t="str">
        <f ca="1">IFERROR(__xludf.DUMMYFUNCTION("GOOGLETRANSLATE(A68,""en"",""it"")"),"Errore di connessione")</f>
        <v>Errore di connessione</v>
      </c>
      <c r="H68" s="3" t="str">
        <f ca="1">IFERROR(__xludf.DUMMYFUNCTION("GOOGLETRANSLATE(A68,""en"",""nl"")"),"Fout bij verbinden")</f>
        <v>Fout bij verbinden</v>
      </c>
      <c r="I68" s="3" t="str">
        <f ca="1">IFERROR(__xludf.DUMMYFUNCTION("GOOGLETRANSLATE(A68,""en"",""eu"")"),"Errore bat gertatu da konektatzean")</f>
        <v>Errore bat gertatu da konektatzean</v>
      </c>
      <c r="J68" s="3" t="str">
        <f ca="1">IFERROR(__xludf.DUMMYFUNCTION("GOOGLETRANSLATE(A68,""en"",""gl"")"),"Produciuse un erro ao conectar")</f>
        <v>Produciuse un erro ao conectar</v>
      </c>
      <c r="K68" s="3" t="str">
        <f ca="1">IFERROR(__xludf.DUMMYFUNCTION("GOOGLETRANSLATE(A68,""en"",""zh"")"),"连接错误")</f>
        <v>连接错误</v>
      </c>
    </row>
    <row r="69" spans="1:11" x14ac:dyDescent="0.2">
      <c r="A69" s="4" t="s">
        <v>78</v>
      </c>
      <c r="B69" s="3" t="str">
        <f t="shared" si="0"/>
        <v>Error retrieving files</v>
      </c>
      <c r="C69" s="3" t="str">
        <f ca="1">IFERROR(__xludf.DUMMYFUNCTION("GOOGLETRANSLATE(A69,""en"",""es"")"),"Error al recuperar archivos")</f>
        <v>Error al recuperar archivos</v>
      </c>
      <c r="D69" s="3" t="str">
        <f ca="1">IFERROR(__xludf.DUMMYFUNCTION("GOOGLETRANSLATE(A69,""en"",""ca"")"),"S'ha produït un error en recuperar els fitxers")</f>
        <v>S'ha produït un error en recuperar els fitxers</v>
      </c>
      <c r="E69" s="3" t="str">
        <f ca="1">IFERROR(__xludf.DUMMYFUNCTION("GOOGLETRANSLATE(A69,""en"",""fr"")"),"Erreur lors de la récupération des fichiers")</f>
        <v>Erreur lors de la récupération des fichiers</v>
      </c>
      <c r="F69" s="3" t="str">
        <f ca="1">IFERROR(__xludf.DUMMYFUNCTION("GOOGLETRANSLATE(A69,""en"",""de"")"),"Fehler beim Abrufen der Dateien")</f>
        <v>Fehler beim Abrufen der Dateien</v>
      </c>
      <c r="G69" s="3" t="str">
        <f ca="1">IFERROR(__xludf.DUMMYFUNCTION("GOOGLETRANSLATE(A69,""en"",""it"")"),"Errore durante il recupero dei file")</f>
        <v>Errore durante il recupero dei file</v>
      </c>
      <c r="H69" s="3" t="str">
        <f ca="1">IFERROR(__xludf.DUMMYFUNCTION("GOOGLETRANSLATE(A69,""en"",""nl"")"),"Fout bij het ophalen van bestanden")</f>
        <v>Fout bij het ophalen van bestanden</v>
      </c>
      <c r="I69" s="3" t="str">
        <f ca="1">IFERROR(__xludf.DUMMYFUNCTION("GOOGLETRANSLATE(A69,""en"",""eu"")"),"Errore bat gertatu da fitxategiak berreskuratzean")</f>
        <v>Errore bat gertatu da fitxategiak berreskuratzean</v>
      </c>
      <c r="J69" s="3" t="str">
        <f ca="1">IFERROR(__xludf.DUMMYFUNCTION("GOOGLETRANSLATE(A69,""en"",""gl"")"),"Erro ao recuperar os ficheiros")</f>
        <v>Erro ao recuperar os ficheiros</v>
      </c>
      <c r="K69" s="3" t="str">
        <f ca="1">IFERROR(__xludf.DUMMYFUNCTION("GOOGLETRANSLATE(A69,""en"",""zh"")"),"检索文件时出错")</f>
        <v>检索文件时出错</v>
      </c>
    </row>
    <row r="70" spans="1:11" x14ac:dyDescent="0.2">
      <c r="A70" s="4" t="s">
        <v>79</v>
      </c>
      <c r="B70" s="3" t="str">
        <f t="shared" si="0"/>
        <v>Error uploading file</v>
      </c>
      <c r="C70" s="3" t="str">
        <f ca="1">IFERROR(__xludf.DUMMYFUNCTION("GOOGLETRANSLATE(A70,""en"",""es"")"),"Error al cargar el archivo")</f>
        <v>Error al cargar el archivo</v>
      </c>
      <c r="D70" s="3" t="str">
        <f ca="1">IFERROR(__xludf.DUMMYFUNCTION("GOOGLETRANSLATE(A70,""en"",""ca"")"),"S'ha produït un error en carregar el fitxer")</f>
        <v>S'ha produït un error en carregar el fitxer</v>
      </c>
      <c r="E70" s="3" t="str">
        <f ca="1">IFERROR(__xludf.DUMMYFUNCTION("GOOGLETRANSLATE(A70,""en"",""fr"")"),"Erreur lors du téléchargement du fichier")</f>
        <v>Erreur lors du téléchargement du fichier</v>
      </c>
      <c r="F70" s="3" t="str">
        <f ca="1">IFERROR(__xludf.DUMMYFUNCTION("GOOGLETRANSLATE(A70,""en"",""de"")"),"Fehler beim Hochladen der Datei")</f>
        <v>Fehler beim Hochladen der Datei</v>
      </c>
      <c r="G70" s="3" t="str">
        <f ca="1">IFERROR(__xludf.DUMMYFUNCTION("GOOGLETRANSLATE(A70,""en"",""it"")"),"Errore durante il caricamento del file")</f>
        <v>Errore durante il caricamento del file</v>
      </c>
      <c r="H70" s="3" t="str">
        <f ca="1">IFERROR(__xludf.DUMMYFUNCTION("GOOGLETRANSLATE(A70,""en"",""nl"")"),"Fout bij uploaden van bestand")</f>
        <v>Fout bij uploaden van bestand</v>
      </c>
      <c r="I70" s="3" t="str">
        <f ca="1">IFERROR(__xludf.DUMMYFUNCTION("GOOGLETRANSLATE(A70,""en"",""eu"")"),"Errore bat gertatu da fitxategia kargatzean")</f>
        <v>Errore bat gertatu da fitxategia kargatzean</v>
      </c>
      <c r="J70" s="3" t="str">
        <f ca="1">IFERROR(__xludf.DUMMYFUNCTION("GOOGLETRANSLATE(A70,""en"",""gl"")"),"Produciuse un erro ao cargar o ficheiro")</f>
        <v>Produciuse un erro ao cargar o ficheiro</v>
      </c>
      <c r="K70" s="3" t="str">
        <f ca="1">IFERROR(__xludf.DUMMYFUNCTION("GOOGLETRANSLATE(A70,""en"",""zh"")"),"上传文件时出错")</f>
        <v>上传文件时出错</v>
      </c>
    </row>
    <row r="71" spans="1:11" x14ac:dyDescent="0.2">
      <c r="A71" s="4" t="s">
        <v>80</v>
      </c>
      <c r="B71" s="3" t="str">
        <f t="shared" si="0"/>
        <v>Exit Application!</v>
      </c>
      <c r="C71" s="3" t="str">
        <f ca="1">IFERROR(__xludf.DUMMYFUNCTION("GOOGLETRANSLATE(A71,""en"",""es"")"),"¡Salir de la aplicación!")</f>
        <v>¡Salir de la aplicación!</v>
      </c>
      <c r="D71" s="3" t="str">
        <f ca="1">IFERROR(__xludf.DUMMYFUNCTION("GOOGLETRANSLATE(A71,""en"",""ca"")"),"Surt de l'aplicació!")</f>
        <v>Surt de l'aplicació!</v>
      </c>
      <c r="E71" s="3" t="str">
        <f ca="1">IFERROR(__xludf.DUMMYFUNCTION("GOOGLETRANSLATE(A71,""en"",""fr"")"),"Quittez l'application !")</f>
        <v>Quittez l'application !</v>
      </c>
      <c r="F71" s="3" t="str">
        <f ca="1">IFERROR(__xludf.DUMMYFUNCTION("GOOGLETRANSLATE(A71,""en"",""de"")"),"Anwendung beenden!")</f>
        <v>Anwendung beenden!</v>
      </c>
      <c r="G71" s="3" t="str">
        <f ca="1">IFERROR(__xludf.DUMMYFUNCTION("GOOGLETRANSLATE(A71,""en"",""it"")"),"Esci dall'applicazione!")</f>
        <v>Esci dall'applicazione!</v>
      </c>
      <c r="H71" s="3" t="str">
        <f ca="1">IFERROR(__xludf.DUMMYFUNCTION("GOOGLETRANSLATE(A71,""en"",""nl"")"),"Applicatie afsluiten!")</f>
        <v>Applicatie afsluiten!</v>
      </c>
      <c r="I71" s="3" t="str">
        <f ca="1">IFERROR(__xludf.DUMMYFUNCTION("GOOGLETRANSLATE(A71,""en"",""eu"")"),"Irten aplikazioa!")</f>
        <v>Irten aplikazioa!</v>
      </c>
      <c r="J71" s="3" t="str">
        <f ca="1">IFERROR(__xludf.DUMMYFUNCTION("GOOGLETRANSLATE(A71,""en"",""gl"")"),"Saír da aplicación!")</f>
        <v>Saír da aplicación!</v>
      </c>
      <c r="K71" s="3" t="str">
        <f ca="1">IFERROR(__xludf.DUMMYFUNCTION("GOOGLETRANSLATE(A71,""en"",""zh"")"),"退出应用程序！")</f>
        <v>退出应用程序！</v>
      </c>
    </row>
    <row r="72" spans="1:11" x14ac:dyDescent="0.2">
      <c r="A72" s="4" t="s">
        <v>81</v>
      </c>
      <c r="B72" s="3" t="str">
        <f t="shared" si="0"/>
        <v>FAILED!</v>
      </c>
      <c r="C72" s="3" t="str">
        <f ca="1">IFERROR(__xludf.DUMMYFUNCTION("GOOGLETRANSLATE(A72,""en"",""es"")"),"¡FALLIDO!")</f>
        <v>¡FALLIDO!</v>
      </c>
      <c r="D72" s="3" t="str">
        <f ca="1">IFERROR(__xludf.DUMMYFUNCTION("GOOGLETRANSLATE(A72,""en"",""ca"")"),"FALLAT!")</f>
        <v>FALLAT!</v>
      </c>
      <c r="E72" s="3" t="str">
        <f ca="1">IFERROR(__xludf.DUMMYFUNCTION("GOOGLETRANSLATE(A72,""en"",""fr"")"),"ÉCHOUÉ!")</f>
        <v>ÉCHOUÉ!</v>
      </c>
      <c r="F72" s="3" t="str">
        <f ca="1">IFERROR(__xludf.DUMMYFUNCTION("GOOGLETRANSLATE(A72,""en"",""de"")"),"FEHLGESCHLAGEN!")</f>
        <v>FEHLGESCHLAGEN!</v>
      </c>
      <c r="G72" s="3" t="str">
        <f ca="1">IFERROR(__xludf.DUMMYFUNCTION("GOOGLETRANSLATE(A72,""en"",""it"")"),"FALLITO!")</f>
        <v>FALLITO!</v>
      </c>
      <c r="H72" s="3" t="str">
        <f ca="1">IFERROR(__xludf.DUMMYFUNCTION("GOOGLETRANSLATE(A72,""en"",""nl"")"),"MISLUKT!")</f>
        <v>MISLUKT!</v>
      </c>
      <c r="I72" s="3" t="str">
        <f ca="1">IFERROR(__xludf.DUMMYFUNCTION("GOOGLETRANSLATE(A72,""en"",""eu"")"),"HUTS!")</f>
        <v>HUTS!</v>
      </c>
      <c r="J72" s="3" t="str">
        <f ca="1">IFERROR(__xludf.DUMMYFUNCTION("GOOGLETRANSLATE(A72,""en"",""gl"")"),"FALLADO!")</f>
        <v>FALLADO!</v>
      </c>
      <c r="K72" s="3" t="str">
        <f ca="1">IFERROR(__xludf.DUMMYFUNCTION("GOOGLETRANSLATE(A72,""en"",""zh"")"),"失败的！")</f>
        <v>失败的！</v>
      </c>
    </row>
    <row r="73" spans="1:11" x14ac:dyDescent="0.2">
      <c r="A73" s="4" t="s">
        <v>82</v>
      </c>
      <c r="B73" s="3" t="str">
        <f t="shared" si="0"/>
        <v>Feedback</v>
      </c>
      <c r="C73" s="3" t="str">
        <f ca="1">IFERROR(__xludf.DUMMYFUNCTION("GOOGLETRANSLATE(A73,""en"",""es"")"),"Comentario")</f>
        <v>Comentario</v>
      </c>
      <c r="D73" s="3" t="str">
        <f ca="1">IFERROR(__xludf.DUMMYFUNCTION("GOOGLETRANSLATE(A73,""en"",""ca"")"),"Feedback")</f>
        <v>Feedback</v>
      </c>
      <c r="E73" s="3" t="str">
        <f ca="1">IFERROR(__xludf.DUMMYFUNCTION("GOOGLETRANSLATE(A73,""en"",""fr"")"),"Retour")</f>
        <v>Retour</v>
      </c>
      <c r="F73" s="3" t="str">
        <f ca="1">IFERROR(__xludf.DUMMYFUNCTION("GOOGLETRANSLATE(A73,""en"",""de"")"),"Rückmeldung")</f>
        <v>Rückmeldung</v>
      </c>
      <c r="G73" s="3" t="str">
        <f ca="1">IFERROR(__xludf.DUMMYFUNCTION("GOOGLETRANSLATE(A73,""en"",""it"")"),"Feedback")</f>
        <v>Feedback</v>
      </c>
      <c r="H73" s="3" t="str">
        <f ca="1">IFERROR(__xludf.DUMMYFUNCTION("GOOGLETRANSLATE(A73,""en"",""nl"")"),"Feedback")</f>
        <v>Feedback</v>
      </c>
      <c r="I73" s="3" t="str">
        <f ca="1">IFERROR(__xludf.DUMMYFUNCTION("GOOGLETRANSLATE(A73,""en"",""eu"")"),"Iritzia")</f>
        <v>Iritzia</v>
      </c>
      <c r="J73" s="3" t="str">
        <f ca="1">IFERROR(__xludf.DUMMYFUNCTION("GOOGLETRANSLATE(A73,""en"",""gl"")"),"Comentarios")</f>
        <v>Comentarios</v>
      </c>
      <c r="K73" s="3" t="str">
        <f ca="1">IFERROR(__xludf.DUMMYFUNCTION("GOOGLETRANSLATE(A73,""en"",""zh"")"),"反馈")</f>
        <v>反馈</v>
      </c>
    </row>
    <row r="74" spans="1:11" x14ac:dyDescent="0.2">
      <c r="A74" s="4" t="s">
        <v>83</v>
      </c>
      <c r="B74" s="3" t="str">
        <f t="shared" si="0"/>
        <v>Feedback OBD</v>
      </c>
      <c r="C74" s="3" t="str">
        <f ca="1">IFERROR(__xludf.DUMMYFUNCTION("GOOGLETRANSLATE(A74,""en"",""es"")"),"Comentarios OBD")</f>
        <v>Comentarios OBD</v>
      </c>
      <c r="D74" s="3" t="str">
        <f ca="1">IFERROR(__xludf.DUMMYFUNCTION("GOOGLETRANSLATE(A74,""en"",""ca"")"),"Feedback OBD")</f>
        <v>Feedback OBD</v>
      </c>
      <c r="E74" s="3" t="str">
        <f ca="1">IFERROR(__xludf.DUMMYFUNCTION("GOOGLETRANSLATE(A74,""en"",""fr"")"),"Commentaires OBD")</f>
        <v>Commentaires OBD</v>
      </c>
      <c r="F74" s="3" t="str">
        <f ca="1">IFERROR(__xludf.DUMMYFUNCTION("GOOGLETRANSLATE(A74,""en"",""de"")"),"Feedback-OBD")</f>
        <v>Feedback-OBD</v>
      </c>
      <c r="G74" s="3" t="str">
        <f ca="1">IFERROR(__xludf.DUMMYFUNCTION("GOOGLETRANSLATE(A74,""en"",""it"")"),"FeedbackOBD")</f>
        <v>FeedbackOBD</v>
      </c>
      <c r="H74" s="3" t="str">
        <f ca="1">IFERROR(__xludf.DUMMYFUNCTION("GOOGLETRANSLATE(A74,""en"",""nl"")"),"Feedback-OBD")</f>
        <v>Feedback-OBD</v>
      </c>
      <c r="I74" s="3" t="str">
        <f ca="1">IFERROR(__xludf.DUMMYFUNCTION("GOOGLETRANSLATE(A74,""en"",""eu"")"),"Iritzia OBD")</f>
        <v>Iritzia OBD</v>
      </c>
      <c r="J74" s="3" t="str">
        <f ca="1">IFERROR(__xludf.DUMMYFUNCTION("GOOGLETRANSLATE(A74,""en"",""gl"")"),"Feedback OBD")</f>
        <v>Feedback OBD</v>
      </c>
      <c r="K74" s="3" t="str">
        <f ca="1">IFERROR(__xludf.DUMMYFUNCTION("GOOGLETRANSLATE(A74,""en"",""zh"")"),"反馈OBD")</f>
        <v>反馈OBD</v>
      </c>
    </row>
    <row r="75" spans="1:11" x14ac:dyDescent="0.2">
      <c r="A75" s="4" t="s">
        <v>84</v>
      </c>
      <c r="B75" s="3" t="str">
        <f t="shared" si="0"/>
        <v>Feedback Remotes</v>
      </c>
      <c r="C75" s="3" t="str">
        <f ca="1">IFERROR(__xludf.DUMMYFUNCTION("GOOGLETRANSLATE(A75,""en"",""es"")"),"Comentarios remotos")</f>
        <v>Comentarios remotos</v>
      </c>
      <c r="D75" s="3" t="str">
        <f ca="1">IFERROR(__xludf.DUMMYFUNCTION("GOOGLETRANSLATE(A75,""en"",""ca"")"),"Comandaments a distància de comentaris")</f>
        <v>Comandaments a distància de comentaris</v>
      </c>
      <c r="E75" s="3" t="str">
        <f ca="1">IFERROR(__xludf.DUMMYFUNCTION("GOOGLETRANSLATE(A75,""en"",""fr"")"),"Télécommandes")</f>
        <v>Télécommandes</v>
      </c>
      <c r="F75" s="3" t="str">
        <f ca="1">IFERROR(__xludf.DUMMYFUNCTION("GOOGLETRANSLATE(A75,""en"",""de"")"),"Feedback-Fernbedienungen")</f>
        <v>Feedback-Fernbedienungen</v>
      </c>
      <c r="G75" s="3" t="str">
        <f ca="1">IFERROR(__xludf.DUMMYFUNCTION("GOOGLETRANSLATE(A75,""en"",""it"")"),"Telecomandi con feedback")</f>
        <v>Telecomandi con feedback</v>
      </c>
      <c r="H75" s="3" t="str">
        <f ca="1">IFERROR(__xludf.DUMMYFUNCTION("GOOGLETRANSLATE(A75,""en"",""nl"")"),"Feedback-afstandsbedieningen")</f>
        <v>Feedback-afstandsbedieningen</v>
      </c>
      <c r="I75" s="3" t="str">
        <f ca="1">IFERROR(__xludf.DUMMYFUNCTION("GOOGLETRANSLATE(A75,""en"",""eu"")"),"Feedback Urruneko")</f>
        <v>Feedback Urruneko</v>
      </c>
      <c r="J75" s="3" t="str">
        <f ca="1">IFERROR(__xludf.DUMMYFUNCTION("GOOGLETRANSLATE(A75,""en"",""gl"")"),"Mandos a distancia de comentarios")</f>
        <v>Mandos a distancia de comentarios</v>
      </c>
      <c r="K75" s="3" t="str">
        <f ca="1">IFERROR(__xludf.DUMMYFUNCTION("GOOGLETRANSLATE(A75,""en"",""zh"")"),"反馈遥控器")</f>
        <v>反馈遥控器</v>
      </c>
    </row>
    <row r="76" spans="1:11" x14ac:dyDescent="0.2">
      <c r="A76" s="4" t="s">
        <v>85</v>
      </c>
      <c r="B76" s="3" t="str">
        <f t="shared" si="0"/>
        <v>Feedback Transponder</v>
      </c>
      <c r="C76" s="3" t="str">
        <f ca="1">IFERROR(__xludf.DUMMYFUNCTION("GOOGLETRANSLATE(A76,""en"",""es"")"),"Transpondedor de retroalimentación")</f>
        <v>Transpondedor de retroalimentación</v>
      </c>
      <c r="D76" s="3" t="str">
        <f ca="1">IFERROR(__xludf.DUMMYFUNCTION("GOOGLETRANSLATE(A76,""en"",""ca"")"),"Transponder de retroalimentació")</f>
        <v>Transponder de retroalimentació</v>
      </c>
      <c r="E76" s="3" t="str">
        <f ca="1">IFERROR(__xludf.DUMMYFUNCTION("GOOGLETRANSLATE(A76,""en"",""fr"")"),"Transpondeur de rétroaction")</f>
        <v>Transpondeur de rétroaction</v>
      </c>
      <c r="F76" s="3" t="str">
        <f ca="1">IFERROR(__xludf.DUMMYFUNCTION("GOOGLETRANSLATE(A76,""en"",""de"")"),"Feedback-Transponder")</f>
        <v>Feedback-Transponder</v>
      </c>
      <c r="G76" s="3" t="str">
        <f ca="1">IFERROR(__xludf.DUMMYFUNCTION("GOOGLETRANSLATE(A76,""en"",""it"")"),"Transponder di feedback")</f>
        <v>Transponder di feedback</v>
      </c>
      <c r="H76" s="3" t="str">
        <f ca="1">IFERROR(__xludf.DUMMYFUNCTION("GOOGLETRANSLATE(A76,""en"",""nl"")"),"Feedbacktransponder")</f>
        <v>Feedbacktransponder</v>
      </c>
      <c r="I76" s="3" t="str">
        <f ca="1">IFERROR(__xludf.DUMMYFUNCTION("GOOGLETRANSLATE(A76,""en"",""eu"")"),"Feedback Transponder")</f>
        <v>Feedback Transponder</v>
      </c>
      <c r="J76" s="3" t="str">
        <f ca="1">IFERROR(__xludf.DUMMYFUNCTION("GOOGLETRANSLATE(A76,""en"",""gl"")"),"Transponder de comentarios")</f>
        <v>Transponder de comentarios</v>
      </c>
      <c r="K76" s="3" t="str">
        <f ca="1">IFERROR(__xludf.DUMMYFUNCTION("GOOGLETRANSLATE(A76,""en"",""zh"")"),"反馈应答器")</f>
        <v>反馈应答器</v>
      </c>
    </row>
    <row r="77" spans="1:11" x14ac:dyDescent="0.2">
      <c r="A77" s="4" t="s">
        <v>86</v>
      </c>
      <c r="B77" s="3" t="str">
        <f t="shared" si="0"/>
        <v>Ford Parts</v>
      </c>
      <c r="C77" s="3" t="str">
        <f ca="1">IFERROR(__xludf.DUMMYFUNCTION("GOOGLETRANSLATE(A77,""en"",""es"")"),"Piezas Ford")</f>
        <v>Piezas Ford</v>
      </c>
      <c r="D77" s="3" t="str">
        <f ca="1">IFERROR(__xludf.DUMMYFUNCTION("GOOGLETRANSLATE(A77,""en"",""ca"")"),"Peces Ford")</f>
        <v>Peces Ford</v>
      </c>
      <c r="E77" s="3" t="str">
        <f ca="1">IFERROR(__xludf.DUMMYFUNCTION("GOOGLETRANSLATE(A77,""en"",""fr"")"),"Pièces Ford")</f>
        <v>Pièces Ford</v>
      </c>
      <c r="F77" s="3" t="str">
        <f ca="1">IFERROR(__xludf.DUMMYFUNCTION("GOOGLETRANSLATE(A77,""en"",""de"")"),"Ford-Teile")</f>
        <v>Ford-Teile</v>
      </c>
      <c r="G77" s="3" t="str">
        <f ca="1">IFERROR(__xludf.DUMMYFUNCTION("GOOGLETRANSLATE(A77,""en"",""it"")"),"Parti Ford")</f>
        <v>Parti Ford</v>
      </c>
      <c r="H77" s="3" t="str">
        <f ca="1">IFERROR(__xludf.DUMMYFUNCTION("GOOGLETRANSLATE(A77,""en"",""nl"")"),"Ford-onderdelen")</f>
        <v>Ford-onderdelen</v>
      </c>
      <c r="I77" s="3" t="str">
        <f ca="1">IFERROR(__xludf.DUMMYFUNCTION("GOOGLETRANSLATE(A77,""en"",""eu"")"),"Ford piezak")</f>
        <v>Ford piezak</v>
      </c>
      <c r="J77" s="3" t="str">
        <f ca="1">IFERROR(__xludf.DUMMYFUNCTION("GOOGLETRANSLATE(A77,""en"",""gl"")"),"Recambios Ford")</f>
        <v>Recambios Ford</v>
      </c>
      <c r="K77" s="3" t="str">
        <f ca="1">IFERROR(__xludf.DUMMYFUNCTION("GOOGLETRANSLATE(A77,""en"",""zh"")"),"福特零件")</f>
        <v>福特零件</v>
      </c>
    </row>
    <row r="78" spans="1:11" x14ac:dyDescent="0.2">
      <c r="A78" s="4" t="s">
        <v>87</v>
      </c>
      <c r="B78" s="3" t="str">
        <f t="shared" si="0"/>
        <v>Front LH Door</v>
      </c>
      <c r="C78" s="3" t="str">
        <f ca="1">IFERROR(__xludf.DUMMYFUNCTION("GOOGLETRANSLATE(A78,""en"",""es"")"),"Puerta delantera izquierda")</f>
        <v>Puerta delantera izquierda</v>
      </c>
      <c r="D78" s="3" t="str">
        <f ca="1">IFERROR(__xludf.DUMMYFUNCTION("GOOGLETRANSLATE(A78,""en"",""ca"")"),"Porta davantera esquerra")</f>
        <v>Porta davantera esquerra</v>
      </c>
      <c r="E78" s="3" t="str">
        <f ca="1">IFERROR(__xludf.DUMMYFUNCTION("GOOGLETRANSLATE(A78,""en"",""fr"")"),"Porte avant gauche")</f>
        <v>Porte avant gauche</v>
      </c>
      <c r="F78" s="3" t="str">
        <f ca="1">IFERROR(__xludf.DUMMYFUNCTION("GOOGLETRANSLATE(A78,""en"",""de"")"),"Vordere linke Tür")</f>
        <v>Vordere linke Tür</v>
      </c>
      <c r="G78" s="3" t="str">
        <f ca="1">IFERROR(__xludf.DUMMYFUNCTION("GOOGLETRANSLATE(A78,""en"",""it"")"),"Porta anteriore sinistra")</f>
        <v>Porta anteriore sinistra</v>
      </c>
      <c r="H78" s="3" t="str">
        <f ca="1">IFERROR(__xludf.DUMMYFUNCTION("GOOGLETRANSLATE(A78,""en"",""nl"")"),"Linkervoordeur")</f>
        <v>Linkervoordeur</v>
      </c>
      <c r="I78" s="3" t="str">
        <f ca="1">IFERROR(__xludf.DUMMYFUNCTION("GOOGLETRANSLATE(A78,""en"",""eu"")"),"Aurreko ezkerreko atea")</f>
        <v>Aurreko ezkerreko atea</v>
      </c>
      <c r="J78" s="3" t="str">
        <f ca="1">IFERROR(__xludf.DUMMYFUNCTION("GOOGLETRANSLATE(A78,""en"",""gl"")"),"Porta dianteira esquerda")</f>
        <v>Porta dianteira esquerda</v>
      </c>
      <c r="K78" s="3" t="str">
        <f ca="1">IFERROR(__xludf.DUMMYFUNCTION("GOOGLETRANSLATE(A78,""en"",""zh"")"),"左前门")</f>
        <v>左前门</v>
      </c>
    </row>
    <row r="79" spans="1:11" x14ac:dyDescent="0.2">
      <c r="A79" s="4" t="s">
        <v>88</v>
      </c>
      <c r="B79" s="3" t="str">
        <f t="shared" si="0"/>
        <v>Front RH Door</v>
      </c>
      <c r="C79" s="3" t="str">
        <f ca="1">IFERROR(__xludf.DUMMYFUNCTION("GOOGLETRANSLATE(A79,""en"",""es"")"),"Puerta delantera derecha")</f>
        <v>Puerta delantera derecha</v>
      </c>
      <c r="D79" s="3" t="str">
        <f ca="1">IFERROR(__xludf.DUMMYFUNCTION("GOOGLETRANSLATE(A79,""en"",""ca"")"),"Porta davantera dreta")</f>
        <v>Porta davantera dreta</v>
      </c>
      <c r="E79" s="3" t="str">
        <f ca="1">IFERROR(__xludf.DUMMYFUNCTION("GOOGLETRANSLATE(A79,""en"",""fr"")"),"Porte avant droite")</f>
        <v>Porte avant droite</v>
      </c>
      <c r="F79" s="3" t="str">
        <f ca="1">IFERROR(__xludf.DUMMYFUNCTION("GOOGLETRANSLATE(A79,""en"",""de"")"),"Vordere rechte Tür")</f>
        <v>Vordere rechte Tür</v>
      </c>
      <c r="G79" s="3" t="str">
        <f ca="1">IFERROR(__xludf.DUMMYFUNCTION("GOOGLETRANSLATE(A79,""en"",""it"")"),"Porta anteriore destra")</f>
        <v>Porta anteriore destra</v>
      </c>
      <c r="H79" s="3" t="str">
        <f ca="1">IFERROR(__xludf.DUMMYFUNCTION("GOOGLETRANSLATE(A79,""en"",""nl"")"),"Rechtervoordeur")</f>
        <v>Rechtervoordeur</v>
      </c>
      <c r="I79" s="3" t="str">
        <f ca="1">IFERROR(__xludf.DUMMYFUNCTION("GOOGLETRANSLATE(A79,""en"",""eu"")"),"Aurreko eskuineko atea")</f>
        <v>Aurreko eskuineko atea</v>
      </c>
      <c r="J79" s="3" t="str">
        <f ca="1">IFERROR(__xludf.DUMMYFUNCTION("GOOGLETRANSLATE(A79,""en"",""gl"")"),"Porta dianteira dereita")</f>
        <v>Porta dianteira dereita</v>
      </c>
      <c r="K79" s="3" t="str">
        <f ca="1">IFERROR(__xludf.DUMMYFUNCTION("GOOGLETRANSLATE(A79,""en"",""zh"")"),"右前门")</f>
        <v>右前门</v>
      </c>
    </row>
    <row r="80" spans="1:11" x14ac:dyDescent="0.2">
      <c r="A80" s="4" t="s">
        <v>89</v>
      </c>
      <c r="B80" s="3" t="str">
        <f t="shared" si="0"/>
        <v>Fuel Cap/Flap</v>
      </c>
      <c r="C80" s="3" t="str">
        <f ca="1">IFERROR(__xludf.DUMMYFUNCTION("GOOGLETRANSLATE(A80,""en"",""es"")"),"Tapa/tapa de combustible")</f>
        <v>Tapa/tapa de combustible</v>
      </c>
      <c r="D80" s="3" t="str">
        <f ca="1">IFERROR(__xludf.DUMMYFUNCTION("GOOGLETRANSLATE(A80,""en"",""ca"")"),"Tap/Tapa de combustible")</f>
        <v>Tap/Tapa de combustible</v>
      </c>
      <c r="E80" s="3" t="str">
        <f ca="1">IFERROR(__xludf.DUMMYFUNCTION("GOOGLETRANSLATE(A80,""en"",""fr"")"),"Bouchon/volet de carburant")</f>
        <v>Bouchon/volet de carburant</v>
      </c>
      <c r="F80" s="3" t="str">
        <f ca="1">IFERROR(__xludf.DUMMYFUNCTION("GOOGLETRANSLATE(A80,""en"",""de"")"),"Tankdeckel/Klappe")</f>
        <v>Tankdeckel/Klappe</v>
      </c>
      <c r="G80" s="3" t="str">
        <f ca="1">IFERROR(__xludf.DUMMYFUNCTION("GOOGLETRANSLATE(A80,""en"",""it"")"),"Tappo/sportello del carburante")</f>
        <v>Tappo/sportello del carburante</v>
      </c>
      <c r="H80" s="3" t="str">
        <f ca="1">IFERROR(__xludf.DUMMYFUNCTION("GOOGLETRANSLATE(A80,""en"",""nl"")"),"Tankdop/klep")</f>
        <v>Tankdop/klep</v>
      </c>
      <c r="I80" s="3" t="str">
        <f ca="1">IFERROR(__xludf.DUMMYFUNCTION("GOOGLETRANSLATE(A80,""en"",""eu"")"),"Erregai Tapa/Flap")</f>
        <v>Erregai Tapa/Flap</v>
      </c>
      <c r="J80" s="3" t="str">
        <f ca="1">IFERROR(__xludf.DUMMYFUNCTION("GOOGLETRANSLATE(A80,""en"",""gl"")"),"Tapón/Tapa de combustible")</f>
        <v>Tapón/Tapa de combustible</v>
      </c>
      <c r="K80" s="3" t="str">
        <f ca="1">IFERROR(__xludf.DUMMYFUNCTION("GOOGLETRANSLATE(A80,""en"",""zh"")"),"油箱盖/盖板")</f>
        <v>油箱盖/盖板</v>
      </c>
    </row>
    <row r="81" spans="1:11" x14ac:dyDescent="0.2">
      <c r="A81" s="4" t="s">
        <v>90</v>
      </c>
      <c r="B81" s="3" t="str">
        <f t="shared" si="0"/>
        <v>Getting Rank</v>
      </c>
      <c r="C81" s="3" t="str">
        <f ca="1">IFERROR(__xludf.DUMMYFUNCTION("GOOGLETRANSLATE(A81,""en"",""es"")"),"Obteniendo rango")</f>
        <v>Obteniendo rango</v>
      </c>
      <c r="D81" s="3" t="str">
        <f ca="1">IFERROR(__xludf.DUMMYFUNCTION("GOOGLETRANSLATE(A81,""en"",""ca"")"),"Aconseguint el rang")</f>
        <v>Aconseguint el rang</v>
      </c>
      <c r="E81" s="3" t="str">
        <f ca="1">IFERROR(__xludf.DUMMYFUNCTION("GOOGLETRANSLATE(A81,""en"",""fr"")"),"Obtenir le classement")</f>
        <v>Obtenir le classement</v>
      </c>
      <c r="F81" s="3" t="str">
        <f ca="1">IFERROR(__xludf.DUMMYFUNCTION("GOOGLETRANSLATE(A81,""en"",""de"")"),"Rang erreichen")</f>
        <v>Rang erreichen</v>
      </c>
      <c r="G81" s="3" t="str">
        <f ca="1">IFERROR(__xludf.DUMMYFUNCTION("GOOGLETRANSLATE(A81,""en"",""it"")"),"Ottenere il rango")</f>
        <v>Ottenere il rango</v>
      </c>
      <c r="H81" s="3" t="str">
        <f ca="1">IFERROR(__xludf.DUMMYFUNCTION("GOOGLETRANSLATE(A81,""en"",""nl"")"),"Rang krijgen")</f>
        <v>Rang krijgen</v>
      </c>
      <c r="I81" s="3" t="str">
        <f ca="1">IFERROR(__xludf.DUMMYFUNCTION("GOOGLETRANSLATE(A81,""en"",""eu"")"),"Rank lortzea")</f>
        <v>Rank lortzea</v>
      </c>
      <c r="J81" s="3" t="str">
        <f ca="1">IFERROR(__xludf.DUMMYFUNCTION("GOOGLETRANSLATE(A81,""en"",""gl"")"),"Conseguindo Rango")</f>
        <v>Conseguindo Rango</v>
      </c>
      <c r="K81" s="3" t="str">
        <f ca="1">IFERROR(__xludf.DUMMYFUNCTION("GOOGLETRANSLATE(A81,""en"",""zh"")"),"获得排名")</f>
        <v>获得排名</v>
      </c>
    </row>
    <row r="82" spans="1:11" x14ac:dyDescent="0.2">
      <c r="A82" s="4" t="s">
        <v>91</v>
      </c>
      <c r="B82" s="3" t="str">
        <f t="shared" si="0"/>
        <v>Getting Tools</v>
      </c>
      <c r="C82" s="3" t="str">
        <f ca="1">IFERROR(__xludf.DUMMYFUNCTION("GOOGLETRANSLATE(A82,""en"",""es"")"),"Obteniendo herramientas")</f>
        <v>Obteniendo herramientas</v>
      </c>
      <c r="D82" s="3" t="str">
        <f ca="1">IFERROR(__xludf.DUMMYFUNCTION("GOOGLETRANSLATE(A82,""en"",""ca"")"),"Obtenció d'eines")</f>
        <v>Obtenció d'eines</v>
      </c>
      <c r="E82" s="3" t="str">
        <f ca="1">IFERROR(__xludf.DUMMYFUNCTION("GOOGLETRANSLATE(A82,""en"",""fr"")"),"Obtenir des outils")</f>
        <v>Obtenir des outils</v>
      </c>
      <c r="F82" s="3" t="str">
        <f ca="1">IFERROR(__xludf.DUMMYFUNCTION("GOOGLETRANSLATE(A82,""en"",""de"")"),"Werkzeuge besorgen")</f>
        <v>Werkzeuge besorgen</v>
      </c>
      <c r="G82" s="3" t="str">
        <f ca="1">IFERROR(__xludf.DUMMYFUNCTION("GOOGLETRANSLATE(A82,""en"",""it"")"),"Ottenere gli strumenti")</f>
        <v>Ottenere gli strumenti</v>
      </c>
      <c r="H82" s="3" t="str">
        <f ca="1">IFERROR(__xludf.DUMMYFUNCTION("GOOGLETRANSLATE(A82,""en"",""nl"")"),"Hulpmiddelen verkrijgen")</f>
        <v>Hulpmiddelen verkrijgen</v>
      </c>
      <c r="I82" s="3" t="str">
        <f ca="1">IFERROR(__xludf.DUMMYFUNCTION("GOOGLETRANSLATE(A82,""en"",""eu"")"),"Tresnak eskuratzea")</f>
        <v>Tresnak eskuratzea</v>
      </c>
      <c r="J82" s="3" t="str">
        <f ca="1">IFERROR(__xludf.DUMMYFUNCTION("GOOGLETRANSLATE(A82,""en"",""gl"")"),"Obtención de Ferramentas")</f>
        <v>Obtención de Ferramentas</v>
      </c>
      <c r="K82" s="3" t="str">
        <f ca="1">IFERROR(__xludf.DUMMYFUNCTION("GOOGLETRANSLATE(A82,""en"",""zh"")"),"获取工具")</f>
        <v>获取工具</v>
      </c>
    </row>
    <row r="83" spans="1:11" x14ac:dyDescent="0.2">
      <c r="A83" s="4" t="s">
        <v>92</v>
      </c>
      <c r="B83" s="3" t="str">
        <f t="shared" si="0"/>
        <v>Have</v>
      </c>
      <c r="C83" s="3" t="str">
        <f ca="1">IFERROR(__xludf.DUMMYFUNCTION("GOOGLETRANSLATE(A83,""en"",""es"")"),"Tener")</f>
        <v>Tener</v>
      </c>
      <c r="D83" s="3" t="str">
        <f ca="1">IFERROR(__xludf.DUMMYFUNCTION("GOOGLETRANSLATE(A83,""en"",""ca"")"),"Tenir")</f>
        <v>Tenir</v>
      </c>
      <c r="E83" s="3" t="str">
        <f ca="1">IFERROR(__xludf.DUMMYFUNCTION("GOOGLETRANSLATE(A83,""en"",""fr"")"),"Avoir")</f>
        <v>Avoir</v>
      </c>
      <c r="F83" s="3" t="str">
        <f ca="1">IFERROR(__xludf.DUMMYFUNCTION("GOOGLETRANSLATE(A83,""en"",""de"")"),"Haben")</f>
        <v>Haben</v>
      </c>
      <c r="G83" s="3" t="str">
        <f ca="1">IFERROR(__xludf.DUMMYFUNCTION("GOOGLETRANSLATE(A83,""en"",""it"")"),"Avere")</f>
        <v>Avere</v>
      </c>
      <c r="H83" s="3" t="str">
        <f ca="1">IFERROR(__xludf.DUMMYFUNCTION("GOOGLETRANSLATE(A83,""en"",""nl"")"),"Hebben")</f>
        <v>Hebben</v>
      </c>
      <c r="I83" s="3" t="str">
        <f ca="1">IFERROR(__xludf.DUMMYFUNCTION("GOOGLETRANSLATE(A83,""en"",""eu"")"),"Izan")</f>
        <v>Izan</v>
      </c>
      <c r="J83" s="3" t="str">
        <f ca="1">IFERROR(__xludf.DUMMYFUNCTION("GOOGLETRANSLATE(A83,""en"",""gl"")"),"Ter")</f>
        <v>Ter</v>
      </c>
      <c r="K83" s="3" t="str">
        <f ca="1">IFERROR(__xludf.DUMMYFUNCTION("GOOGLETRANSLATE(A83,""en"",""zh"")"),"有")</f>
        <v>有</v>
      </c>
    </row>
    <row r="84" spans="1:11" x14ac:dyDescent="0.2">
      <c r="A84" s="4" t="s">
        <v>93</v>
      </c>
      <c r="B84" s="3" t="str">
        <f t="shared" si="0"/>
        <v>Have any feedback on this vehicle?</v>
      </c>
      <c r="C84" s="3" t="str">
        <f ca="1">IFERROR(__xludf.DUMMYFUNCTION("GOOGLETRANSLATE(A84,""en"",""es"")"),"¿Tiene algún comentario sobre este vehículo?")</f>
        <v>¿Tiene algún comentario sobre este vehículo?</v>
      </c>
      <c r="D84" s="3" t="str">
        <f ca="1">IFERROR(__xludf.DUMMYFUNCTION("GOOGLETRANSLATE(A84,""en"",""ca"")"),"Tens algun comentari sobre aquest vehicle?")</f>
        <v>Tens algun comentari sobre aquest vehicle?</v>
      </c>
      <c r="E84" s="3" t="str">
        <f ca="1">IFERROR(__xludf.DUMMYFUNCTION("GOOGLETRANSLATE(A84,""en"",""fr"")"),"Avez-vous des retours sur ce véhicule ?")</f>
        <v>Avez-vous des retours sur ce véhicule ?</v>
      </c>
      <c r="F84" s="3" t="str">
        <f ca="1">IFERROR(__xludf.DUMMYFUNCTION("GOOGLETRANSLATE(A84,""en"",""de"")"),"Haben Sie Feedback zu diesem Fahrzeug?")</f>
        <v>Haben Sie Feedback zu diesem Fahrzeug?</v>
      </c>
      <c r="G84" s="3" t="str">
        <f ca="1">IFERROR(__xludf.DUMMYFUNCTION("GOOGLETRANSLATE(A84,""en"",""it"")"),"Hai qualche feedback su questo veicolo?")</f>
        <v>Hai qualche feedback su questo veicolo?</v>
      </c>
      <c r="H84" s="3" t="str">
        <f ca="1">IFERROR(__xludf.DUMMYFUNCTION("GOOGLETRANSLATE(A84,""en"",""nl"")"),"Heeft u feedback over dit voertuig?")</f>
        <v>Heeft u feedback over dit voertuig?</v>
      </c>
      <c r="I84" s="3" t="str">
        <f ca="1">IFERROR(__xludf.DUMMYFUNCTION("GOOGLETRANSLATE(A84,""en"",""eu"")"),"Ibilgailu honi buruzko iritzirik al duzu?")</f>
        <v>Ibilgailu honi buruzko iritzirik al duzu?</v>
      </c>
      <c r="J84" s="3" t="str">
        <f ca="1">IFERROR(__xludf.DUMMYFUNCTION("GOOGLETRANSLATE(A84,""en"",""gl"")"),"Tes algún comentario sobre este vehículo?")</f>
        <v>Tes algún comentario sobre este vehículo?</v>
      </c>
      <c r="K84" s="3" t="str">
        <f ca="1">IFERROR(__xludf.DUMMYFUNCTION("GOOGLETRANSLATE(A84,""en"",""zh"")"),"对这款车有什么反馈吗？")</f>
        <v>对这款车有什么反馈吗？</v>
      </c>
    </row>
    <row r="85" spans="1:11" x14ac:dyDescent="0.2">
      <c r="A85" s="4" t="s">
        <v>94</v>
      </c>
      <c r="B85" s="3" t="str">
        <f t="shared" si="0"/>
        <v>Have you confirmed your Email Address?</v>
      </c>
      <c r="C85" s="3" t="str">
        <f ca="1">IFERROR(__xludf.DUMMYFUNCTION("GOOGLETRANSLATE(A85,""en"",""es"")"),"¿Has confirmado tu dirección de correo electrónico?")</f>
        <v>¿Has confirmado tu dirección de correo electrónico?</v>
      </c>
      <c r="D85" s="3" t="str">
        <f ca="1">IFERROR(__xludf.DUMMYFUNCTION("GOOGLETRANSLATE(A85,""en"",""ca"")"),"Has confirmat la teva adreça de correu electrònic?")</f>
        <v>Has confirmat la teva adreça de correu electrònic?</v>
      </c>
      <c r="E85" s="3" t="str">
        <f ca="1">IFERROR(__xludf.DUMMYFUNCTION("GOOGLETRANSLATE(A85,""en"",""fr"")"),"Avez-vous confirmé votre adresse e-mail ?")</f>
        <v>Avez-vous confirmé votre adresse e-mail ?</v>
      </c>
      <c r="F85" s="3" t="str">
        <f ca="1">IFERROR(__xludf.DUMMYFUNCTION("GOOGLETRANSLATE(A85,""en"",""de"")"),"Haben Sie Ihre E-Mail-Adresse bestätigt?")</f>
        <v>Haben Sie Ihre E-Mail-Adresse bestätigt?</v>
      </c>
      <c r="G85" s="3" t="str">
        <f ca="1">IFERROR(__xludf.DUMMYFUNCTION("GOOGLETRANSLATE(A85,""en"",""it"")"),"Hai confermato il tuo indirizzo email?")</f>
        <v>Hai confermato il tuo indirizzo email?</v>
      </c>
      <c r="H85" s="3" t="str">
        <f ca="1">IFERROR(__xludf.DUMMYFUNCTION("GOOGLETRANSLATE(A85,""en"",""nl"")"),"Heeft u uw e-mailadres bevestigd?")</f>
        <v>Heeft u uw e-mailadres bevestigd?</v>
      </c>
      <c r="I85" s="3" t="str">
        <f ca="1">IFERROR(__xludf.DUMMYFUNCTION("GOOGLETRANSLATE(A85,""en"",""eu"")"),"Zure helbide elektronikoa baieztatu al duzu?")</f>
        <v>Zure helbide elektronikoa baieztatu al duzu?</v>
      </c>
      <c r="J85" s="3" t="str">
        <f ca="1">IFERROR(__xludf.DUMMYFUNCTION("GOOGLETRANSLATE(A85,""en"",""gl"")"),"Confirmou o seu enderezo de correo electrónico?")</f>
        <v>Confirmou o seu enderezo de correo electrónico?</v>
      </c>
      <c r="K85" s="3" t="str">
        <f ca="1">IFERROR(__xludf.DUMMYFUNCTION("GOOGLETRANSLATE(A85,""en"",""zh"")"),"您确认了您的电子邮件地址吗？")</f>
        <v>您确认了您的电子邮件地址吗？</v>
      </c>
    </row>
    <row r="86" spans="1:11" x14ac:dyDescent="0.2">
      <c r="A86" s="4" t="s">
        <v>95</v>
      </c>
      <c r="B86" s="3" t="str">
        <f t="shared" si="0"/>
        <v>Hex Number</v>
      </c>
      <c r="C86" s="3" t="str">
        <f ca="1">IFERROR(__xludf.DUMMYFUNCTION("GOOGLETRANSLATE(A86,""en"",""es"")"),"Número hexadecimal")</f>
        <v>Número hexadecimal</v>
      </c>
      <c r="D86" s="3" t="str">
        <f ca="1">IFERROR(__xludf.DUMMYFUNCTION("GOOGLETRANSLATE(A86,""en"",""ca"")"),"Número hexadecimal")</f>
        <v>Número hexadecimal</v>
      </c>
      <c r="E86" s="3" t="str">
        <f ca="1">IFERROR(__xludf.DUMMYFUNCTION("GOOGLETRANSLATE(A86,""en"",""fr"")"),"Numéro hexadécimal")</f>
        <v>Numéro hexadécimal</v>
      </c>
      <c r="F86" s="3" t="str">
        <f ca="1">IFERROR(__xludf.DUMMYFUNCTION("GOOGLETRANSLATE(A86,""en"",""de"")"),"Hexzahl")</f>
        <v>Hexzahl</v>
      </c>
      <c r="G86" s="3" t="str">
        <f ca="1">IFERROR(__xludf.DUMMYFUNCTION("GOOGLETRANSLATE(A86,""en"",""it"")"),"Numero esadecimale")</f>
        <v>Numero esadecimale</v>
      </c>
      <c r="H86" s="3" t="str">
        <f ca="1">IFERROR(__xludf.DUMMYFUNCTION("GOOGLETRANSLATE(A86,""en"",""nl"")"),"Hex-nummer")</f>
        <v>Hex-nummer</v>
      </c>
      <c r="I86" s="3" t="str">
        <f ca="1">IFERROR(__xludf.DUMMYFUNCTION("GOOGLETRANSLATE(A86,""en"",""eu"")"),"Hex zenbakia")</f>
        <v>Hex zenbakia</v>
      </c>
      <c r="J86" s="3" t="str">
        <f ca="1">IFERROR(__xludf.DUMMYFUNCTION("GOOGLETRANSLATE(A86,""en"",""gl"")"),"Número hexadecimal")</f>
        <v>Número hexadecimal</v>
      </c>
      <c r="K86" s="3" t="str">
        <f ca="1">IFERROR(__xludf.DUMMYFUNCTION("GOOGLETRANSLATE(A86,""en"",""zh"")"),"十六进制数")</f>
        <v>十六进制数</v>
      </c>
    </row>
    <row r="87" spans="1:11" x14ac:dyDescent="0.2">
      <c r="A87" s="4" t="s">
        <v>96</v>
      </c>
      <c r="B87" s="3" t="str">
        <f t="shared" si="0"/>
        <v>Hex to Binary</v>
      </c>
      <c r="C87" s="3" t="str">
        <f ca="1">IFERROR(__xludf.DUMMYFUNCTION("GOOGLETRANSLATE(A87,""en"",""es"")"),"Hexadecimal a binario")</f>
        <v>Hexadecimal a binario</v>
      </c>
      <c r="D87" s="3" t="str">
        <f ca="1">IFERROR(__xludf.DUMMYFUNCTION("GOOGLETRANSLATE(A87,""en"",""ca"")"),"Hex a binari")</f>
        <v>Hex a binari</v>
      </c>
      <c r="E87" s="3" t="str">
        <f ca="1">IFERROR(__xludf.DUMMYFUNCTION("GOOGLETRANSLATE(A87,""en"",""fr"")"),"Hex vers binaire")</f>
        <v>Hex vers binaire</v>
      </c>
      <c r="F87" s="3" t="str">
        <f ca="1">IFERROR(__xludf.DUMMYFUNCTION("GOOGLETRANSLATE(A87,""en"",""de"")"),"Hex zu Binär")</f>
        <v>Hex zu Binär</v>
      </c>
      <c r="G87" s="3" t="str">
        <f ca="1">IFERROR(__xludf.DUMMYFUNCTION("GOOGLETRANSLATE(A87,""en"",""it"")"),"Da esadecimale a binario")</f>
        <v>Da esadecimale a binario</v>
      </c>
      <c r="H87" s="3" t="str">
        <f ca="1">IFERROR(__xludf.DUMMYFUNCTION("GOOGLETRANSLATE(A87,""en"",""nl"")"),"Hex naar binair")</f>
        <v>Hex naar binair</v>
      </c>
      <c r="I87" s="3" t="str">
        <f ca="1">IFERROR(__xludf.DUMMYFUNCTION("GOOGLETRANSLATE(A87,""en"",""eu"")"),"Hex bitarra")</f>
        <v>Hex bitarra</v>
      </c>
      <c r="J87" s="3" t="str">
        <f ca="1">IFERROR(__xludf.DUMMYFUNCTION("GOOGLETRANSLATE(A87,""en"",""gl"")"),"Hex a binario")</f>
        <v>Hex a binario</v>
      </c>
      <c r="K87" s="3" t="str">
        <f ca="1">IFERROR(__xludf.DUMMYFUNCTION("GOOGLETRANSLATE(A87,""en"",""zh"")"),"十六进制转二进制")</f>
        <v>十六进制转二进制</v>
      </c>
    </row>
    <row r="88" spans="1:11" x14ac:dyDescent="0.2">
      <c r="A88" s="4" t="s">
        <v>97</v>
      </c>
      <c r="B88" s="3" t="str">
        <f t="shared" si="0"/>
        <v>Hide User Name</v>
      </c>
      <c r="C88" s="3" t="str">
        <f ca="1">IFERROR(__xludf.DUMMYFUNCTION("GOOGLETRANSLATE(A88,""en"",""es"")"),"Ocultar nombre de usuario")</f>
        <v>Ocultar nombre de usuario</v>
      </c>
      <c r="D88" s="3" t="str">
        <f ca="1">IFERROR(__xludf.DUMMYFUNCTION("GOOGLETRANSLATE(A88,""en"",""ca"")"),"Amaga el nom d'usuari")</f>
        <v>Amaga el nom d'usuari</v>
      </c>
      <c r="E88" s="3" t="str">
        <f ca="1">IFERROR(__xludf.DUMMYFUNCTION("GOOGLETRANSLATE(A88,""en"",""fr"")"),"Masquer le nom d'utilisateur")</f>
        <v>Masquer le nom d'utilisateur</v>
      </c>
      <c r="F88" s="3" t="str">
        <f ca="1">IFERROR(__xludf.DUMMYFUNCTION("GOOGLETRANSLATE(A88,""en"",""de"")"),"Benutzernamen ausblenden")</f>
        <v>Benutzernamen ausblenden</v>
      </c>
      <c r="G88" s="3" t="str">
        <f ca="1">IFERROR(__xludf.DUMMYFUNCTION("GOOGLETRANSLATE(A88,""en"",""it"")"),"Nascondi nome utente")</f>
        <v>Nascondi nome utente</v>
      </c>
      <c r="H88" s="3" t="str">
        <f ca="1">IFERROR(__xludf.DUMMYFUNCTION("GOOGLETRANSLATE(A88,""en"",""nl"")"),"Gebruikersnaam verbergen")</f>
        <v>Gebruikersnaam verbergen</v>
      </c>
      <c r="I88" s="3" t="str">
        <f ca="1">IFERROR(__xludf.DUMMYFUNCTION("GOOGLETRANSLATE(A88,""en"",""eu"")"),"Ezkutatu erabiltzaile-izena")</f>
        <v>Ezkutatu erabiltzaile-izena</v>
      </c>
      <c r="J88" s="3" t="str">
        <f ca="1">IFERROR(__xludf.DUMMYFUNCTION("GOOGLETRANSLATE(A88,""en"",""gl"")"),"Ocultar o nome de usuario")</f>
        <v>Ocultar o nome de usuario</v>
      </c>
      <c r="K88" s="3" t="str">
        <f ca="1">IFERROR(__xludf.DUMMYFUNCTION("GOOGLETRANSLATE(A88,""en"",""zh"")"),"隐藏用户名")</f>
        <v>隐藏用户名</v>
      </c>
    </row>
    <row r="89" spans="1:11" x14ac:dyDescent="0.2">
      <c r="A89" s="4" t="s">
        <v>98</v>
      </c>
      <c r="B89" s="3" t="str">
        <f t="shared" si="0"/>
        <v>Hint</v>
      </c>
      <c r="C89" s="3" t="str">
        <f ca="1">IFERROR(__xludf.DUMMYFUNCTION("GOOGLETRANSLATE(A89,""en"",""es"")"),"Pista")</f>
        <v>Pista</v>
      </c>
      <c r="D89" s="3" t="str">
        <f ca="1">IFERROR(__xludf.DUMMYFUNCTION("GOOGLETRANSLATE(A89,""en"",""ca"")"),"Pista")</f>
        <v>Pista</v>
      </c>
      <c r="E89" s="3" t="str">
        <f ca="1">IFERROR(__xludf.DUMMYFUNCTION("GOOGLETRANSLATE(A89,""en"",""fr"")"),"Indice")</f>
        <v>Indice</v>
      </c>
      <c r="F89" s="3" t="str">
        <f ca="1">IFERROR(__xludf.DUMMYFUNCTION("GOOGLETRANSLATE(A89,""en"",""de"")"),"Hinweis")</f>
        <v>Hinweis</v>
      </c>
      <c r="G89" s="3" t="str">
        <f ca="1">IFERROR(__xludf.DUMMYFUNCTION("GOOGLETRANSLATE(A89,""en"",""it"")"),"Suggerimento")</f>
        <v>Suggerimento</v>
      </c>
      <c r="H89" s="3" t="str">
        <f ca="1">IFERROR(__xludf.DUMMYFUNCTION("GOOGLETRANSLATE(A89,""en"",""nl"")"),"Tip")</f>
        <v>Tip</v>
      </c>
      <c r="I89" s="3" t="str">
        <f ca="1">IFERROR(__xludf.DUMMYFUNCTION("GOOGLETRANSLATE(A89,""en"",""eu"")"),"Iradokizuna")</f>
        <v>Iradokizuna</v>
      </c>
      <c r="J89" s="3" t="str">
        <f ca="1">IFERROR(__xludf.DUMMYFUNCTION("GOOGLETRANSLATE(A89,""en"",""gl"")"),"Suxestión")</f>
        <v>Suxestión</v>
      </c>
      <c r="K89" s="3" t="str">
        <f ca="1">IFERROR(__xludf.DUMMYFUNCTION("GOOGLETRANSLATE(A89,""en"",""zh"")"),"暗示")</f>
        <v>暗示</v>
      </c>
    </row>
    <row r="90" spans="1:11" x14ac:dyDescent="0.2">
      <c r="A90" s="4" t="s">
        <v>99</v>
      </c>
      <c r="B90" s="3" t="str">
        <f t="shared" si="0"/>
        <v>Hints</v>
      </c>
      <c r="C90" s="3" t="str">
        <f ca="1">IFERROR(__xludf.DUMMYFUNCTION("GOOGLETRANSLATE(A90,""en"",""es"")"),"Consejos")</f>
        <v>Consejos</v>
      </c>
      <c r="D90" s="3" t="str">
        <f ca="1">IFERROR(__xludf.DUMMYFUNCTION("GOOGLETRANSLATE(A90,""en"",""ca"")"),"Pistes")</f>
        <v>Pistes</v>
      </c>
      <c r="E90" s="3" t="str">
        <f ca="1">IFERROR(__xludf.DUMMYFUNCTION("GOOGLETRANSLATE(A90,""en"",""fr"")"),"Conseils")</f>
        <v>Conseils</v>
      </c>
      <c r="F90" s="3" t="str">
        <f ca="1">IFERROR(__xludf.DUMMYFUNCTION("GOOGLETRANSLATE(A90,""en"",""de"")"),"Hinweise")</f>
        <v>Hinweise</v>
      </c>
      <c r="G90" s="3" t="str">
        <f ca="1">IFERROR(__xludf.DUMMYFUNCTION("GOOGLETRANSLATE(A90,""en"",""it"")"),"Suggerimenti")</f>
        <v>Suggerimenti</v>
      </c>
      <c r="H90" s="3" t="str">
        <f ca="1">IFERROR(__xludf.DUMMYFUNCTION("GOOGLETRANSLATE(A90,""en"",""nl"")"),"Tips")</f>
        <v>Tips</v>
      </c>
      <c r="I90" s="3" t="str">
        <f ca="1">IFERROR(__xludf.DUMMYFUNCTION("GOOGLETRANSLATE(A90,""en"",""eu"")"),"Aholkuak")</f>
        <v>Aholkuak</v>
      </c>
      <c r="J90" s="3" t="str">
        <f ca="1">IFERROR(__xludf.DUMMYFUNCTION("GOOGLETRANSLATE(A90,""en"",""gl"")"),"Consellos")</f>
        <v>Consellos</v>
      </c>
      <c r="K90" s="3" t="str">
        <f ca="1">IFERROR(__xludf.DUMMYFUNCTION("GOOGLETRANSLATE(A90,""en"",""zh"")"),"提示")</f>
        <v>提示</v>
      </c>
    </row>
    <row r="91" spans="1:11" x14ac:dyDescent="0.2">
      <c r="A91" s="4" t="s">
        <v>100</v>
      </c>
      <c r="B91" s="3" t="str">
        <f t="shared" si="0"/>
        <v>Home</v>
      </c>
      <c r="C91" s="3" t="str">
        <f ca="1">IFERROR(__xludf.DUMMYFUNCTION("GOOGLETRANSLATE(A91,""en"",""es"")"),"Hogar")</f>
        <v>Hogar</v>
      </c>
      <c r="D91" s="3" t="str">
        <f ca="1">IFERROR(__xludf.DUMMYFUNCTION("GOOGLETRANSLATE(A91,""en"",""ca"")"),"a casa")</f>
        <v>a casa</v>
      </c>
      <c r="E91" s="3" t="str">
        <f ca="1">IFERROR(__xludf.DUMMYFUNCTION("GOOGLETRANSLATE(A91,""en"",""fr"")"),"Maison")</f>
        <v>Maison</v>
      </c>
      <c r="F91" s="3" t="str">
        <f ca="1">IFERROR(__xludf.DUMMYFUNCTION("GOOGLETRANSLATE(A91,""en"",""de"")"),"Heim")</f>
        <v>Heim</v>
      </c>
      <c r="G91" s="3" t="str">
        <f ca="1">IFERROR(__xludf.DUMMYFUNCTION("GOOGLETRANSLATE(A91,""en"",""it"")"),"Casa")</f>
        <v>Casa</v>
      </c>
      <c r="H91" s="3" t="str">
        <f ca="1">IFERROR(__xludf.DUMMYFUNCTION("GOOGLETRANSLATE(A91,""en"",""nl"")"),"Thuis")</f>
        <v>Thuis</v>
      </c>
      <c r="I91" s="3" t="str">
        <f ca="1">IFERROR(__xludf.DUMMYFUNCTION("GOOGLETRANSLATE(A91,""en"",""eu"")"),"Hasiera")</f>
        <v>Hasiera</v>
      </c>
      <c r="J91" s="3" t="str">
        <f ca="1">IFERROR(__xludf.DUMMYFUNCTION("GOOGLETRANSLATE(A91,""en"",""gl"")"),"Casa")</f>
        <v>Casa</v>
      </c>
      <c r="K91" s="3" t="str">
        <f ca="1">IFERROR(__xludf.DUMMYFUNCTION("GOOGLETRANSLATE(A91,""en"",""zh"")"),"家")</f>
        <v>家</v>
      </c>
    </row>
    <row r="92" spans="1:11" x14ac:dyDescent="0.2">
      <c r="A92" s="4" t="s">
        <v>101</v>
      </c>
      <c r="B92" s="3" t="str">
        <f t="shared" si="0"/>
        <v>I confirm the information I am submitting is my knowledge and my images</v>
      </c>
      <c r="C92" s="3" t="str">
        <f ca="1">IFERROR(__xludf.DUMMYFUNCTION("GOOGLETRANSLATE(A92,""en"",""es"")"),"Confirmo que la información que envío es mi conocimiento y mis imágenes.")</f>
        <v>Confirmo que la información que envío es mi conocimiento y mis imágenes.</v>
      </c>
      <c r="D92" s="3" t="str">
        <f ca="1">IFERROR(__xludf.DUMMYFUNCTION("GOOGLETRANSLATE(A92,""en"",""ca"")"),"Confirmo que la informació que estic enviant és el meu coneixement i les meves imatges")</f>
        <v>Confirmo que la informació que estic enviant és el meu coneixement i les meves imatges</v>
      </c>
      <c r="E92" s="3" t="str">
        <f ca="1">IFERROR(__xludf.DUMMYFUNCTION("GOOGLETRANSLATE(A92,""en"",""fr"")"),"Je confirme que les informations que je soumets correspondent à mes connaissances et à mes images")</f>
        <v>Je confirme que les informations que je soumets correspondent à mes connaissances et à mes images</v>
      </c>
      <c r="F92" s="3" t="str">
        <f ca="1">IFERROR(__xludf.DUMMYFUNCTION("GOOGLETRANSLATE(A92,""en"",""de"")"),"Ich bestätige, dass es sich bei den von mir übermittelten Informationen um mein Wissen und meine Bilder handelt")</f>
        <v>Ich bestätige, dass es sich bei den von mir übermittelten Informationen um mein Wissen und meine Bilder handelt</v>
      </c>
      <c r="G92" s="3" t="str">
        <f ca="1">IFERROR(__xludf.DUMMYFUNCTION("GOOGLETRANSLATE(A92,""en"",""it"")"),"Confermo che le informazioni che invio corrispondono alla mia conoscenza e alle mie immagini")</f>
        <v>Confermo che le informazioni che invio corrispondono alla mia conoscenza e alle mie immagini</v>
      </c>
      <c r="H92" s="3" t="str">
        <f ca="1">IFERROR(__xludf.DUMMYFUNCTION("GOOGLETRANSLATE(A92,""en"",""nl"")"),"Ik bevestig dat de informatie die ik indien mijn kennis en mijn afbeeldingen zijn")</f>
        <v>Ik bevestig dat de informatie die ik indien mijn kennis en mijn afbeeldingen zijn</v>
      </c>
      <c r="I92" s="3" t="str">
        <f ca="1">IFERROR(__xludf.DUMMYFUNCTION("GOOGLETRANSLATE(A92,""en"",""eu"")"),"Bidaltzen ari naizen informazioa nire ezagutza eta nire irudiak direla baieztatzen dut")</f>
        <v>Bidaltzen ari naizen informazioa nire ezagutza eta nire irudiak direla baieztatzen dut</v>
      </c>
      <c r="J92" s="3" t="str">
        <f ca="1">IFERROR(__xludf.DUMMYFUNCTION("GOOGLETRANSLATE(A92,""en"",""gl"")"),"Confirmo que a información que estou enviando é o meu coñecemento e as miñas imaxes")</f>
        <v>Confirmo que a información que estou enviando é o meu coñecemento e as miñas imaxes</v>
      </c>
      <c r="K92" s="3" t="str">
        <f ca="1">IFERROR(__xludf.DUMMYFUNCTION("GOOGLETRANSLATE(A92,""en"",""zh"")"),"我确认我提交的信息是我的知识和图像")</f>
        <v>我确认我提交的信息是我的知识和图像</v>
      </c>
    </row>
    <row r="93" spans="1:11" x14ac:dyDescent="0.2">
      <c r="A93" s="4" t="s">
        <v>102</v>
      </c>
      <c r="B93" s="3" t="str">
        <f t="shared" si="0"/>
        <v>If you have just updated LARA please use the Menu/Settings to enter your User Name and Password.</v>
      </c>
      <c r="C93" s="3" t="str">
        <f ca="1">IFERROR(__xludf.DUMMYFUNCTION("GOOGLETRANSLATE(A93,""en"",""es"")"),"Si acaba de actualizar LARA, utilice Menú/Configuración para ingresar su nombre de usuario y contraseña.")</f>
        <v>Si acaba de actualizar LARA, utilice Menú/Configuración para ingresar su nombre de usuario y contraseña.</v>
      </c>
      <c r="D93" s="3" t="str">
        <f ca="1">IFERROR(__xludf.DUMMYFUNCTION("GOOGLETRANSLATE(A93,""en"",""ca"")"),"Si acabeu d'actualitzar LARA, utilitzeu el menú/Configuració per introduir el vostre nom d'usuari i contrasenya.")</f>
        <v>Si acabeu d'actualitzar LARA, utilitzeu el menú/Configuració per introduir el vostre nom d'usuari i contrasenya.</v>
      </c>
      <c r="E93" s="3" t="str">
        <f ca="1">IFERROR(__xludf.DUMMYFUNCTION("GOOGLETRANSLATE(A93,""en"",""fr"")"),"Si vous venez de mettre à jour LARA, veuillez utiliser le Menu/Paramètres pour saisir votre nom d'utilisateur et votre mot de passe.")</f>
        <v>Si vous venez de mettre à jour LARA, veuillez utiliser le Menu/Paramètres pour saisir votre nom d'utilisateur et votre mot de passe.</v>
      </c>
      <c r="F93" s="3" t="str">
        <f ca="1">IFERROR(__xludf.DUMMYFUNCTION("GOOGLETRANSLATE(A93,""en"",""de"")"),"Wenn Sie LARA gerade aktualisiert haben, verwenden Sie bitte das Menü/Einstellungen, um Ihren Benutzernamen und Ihr Passwort einzugeben.")</f>
        <v>Wenn Sie LARA gerade aktualisiert haben, verwenden Sie bitte das Menü/Einstellungen, um Ihren Benutzernamen und Ihr Passwort einzugeben.</v>
      </c>
      <c r="G93" s="3" t="str">
        <f ca="1">IFERROR(__xludf.DUMMYFUNCTION("GOOGLETRANSLATE(A93,""en"",""it"")"),"Se hai appena aggiornato LARA, utilizza il Menu/Impostazioni per inserire il nome utente e la password.")</f>
        <v>Se hai appena aggiornato LARA, utilizza il Menu/Impostazioni per inserire il nome utente e la password.</v>
      </c>
      <c r="H93" s="3" t="str">
        <f ca="1">IFERROR(__xludf.DUMMYFUNCTION("GOOGLETRANSLATE(A93,""en"",""nl"")"),"Als u zojuist LARA heeft bijgewerkt, gebruik dan het Menu/Instellingen om uw gebruikersnaam en wachtwoord in te voeren.")</f>
        <v>Als u zojuist LARA heeft bijgewerkt, gebruik dan het Menu/Instellingen om uw gebruikersnaam en wachtwoord in te voeren.</v>
      </c>
      <c r="I93" s="3" t="str">
        <f ca="1">IFERROR(__xludf.DUMMYFUNCTION("GOOGLETRANSLATE(A93,""en"",""eu"")"),"LARA eguneratu berri baduzu, erabili Menua/Ezarpenak zure Erabiltzaile-izena eta Pasahitza sartzeko.")</f>
        <v>LARA eguneratu berri baduzu, erabili Menua/Ezarpenak zure Erabiltzaile-izena eta Pasahitza sartzeko.</v>
      </c>
      <c r="J93" s="3" t="str">
        <f ca="1">IFERROR(__xludf.DUMMYFUNCTION("GOOGLETRANSLATE(A93,""en"",""gl"")"),"Se acabas de actualizar LARA, utiliza o menú/Configuración para introducir o teu nome de usuario e contrasinal.")</f>
        <v>Se acabas de actualizar LARA, utiliza o menú/Configuración para introducir o teu nome de usuario e contrasinal.</v>
      </c>
      <c r="K93" s="3" t="str">
        <f ca="1">IFERROR(__xludf.DUMMYFUNCTION("GOOGLETRANSLATE(A93,""en"",""zh"")"),"如果您刚刚更新 LARA，请使用菜单/设置输入您的用户名和密码。")</f>
        <v>如果您刚刚更新 LARA，请使用菜单/设置输入您的用户名和密码。</v>
      </c>
    </row>
    <row r="94" spans="1:11" x14ac:dyDescent="0.2">
      <c r="A94" s="4" t="s">
        <v>103</v>
      </c>
      <c r="B94" s="3" t="str">
        <f t="shared" si="0"/>
        <v>If you are NEW to LARA then please select Menu/Registration to register your copy of LARA.</v>
      </c>
      <c r="C94" s="3" t="str">
        <f ca="1">IFERROR(__xludf.DUMMYFUNCTION("GOOGLETRANSLATE(A94,""en"",""es"")"),"Si es NUEVO en LARA, seleccione Menú/Registro para registrar su copia de LARA.")</f>
        <v>Si es NUEVO en LARA, seleccione Menú/Registro para registrar su copia de LARA.</v>
      </c>
      <c r="D94" s="3" t="str">
        <f ca="1">IFERROR(__xludf.DUMMYFUNCTION("GOOGLETRANSLATE(A94,""en"",""ca"")"),"Si sou NOU a LARA, seleccioneu Menú/Registre per registrar la vostra còpia de LARA.")</f>
        <v>Si sou NOU a LARA, seleccioneu Menú/Registre per registrar la vostra còpia de LARA.</v>
      </c>
      <c r="E94" s="3" t="str">
        <f ca="1">IFERROR(__xludf.DUMMYFUNCTION("GOOGLETRANSLATE(A94,""en"",""fr"")"),"Si vous êtes NOUVEAU sur LARA, veuillez sélectionner Menu/Inscription pour enregistrer votre copie de LARA.")</f>
        <v>Si vous êtes NOUVEAU sur LARA, veuillez sélectionner Menu/Inscription pour enregistrer votre copie de LARA.</v>
      </c>
      <c r="F94" s="3" t="str">
        <f ca="1">IFERROR(__xludf.DUMMYFUNCTION("GOOGLETRANSLATE(A94,""en"",""de"")"),"Wenn Sie NEU bei LARA sind, wählen Sie bitte Menü/Registrierung, um Ihr Exemplar von LARA zu registrieren.")</f>
        <v>Wenn Sie NEU bei LARA sind, wählen Sie bitte Menü/Registrierung, um Ihr Exemplar von LARA zu registrieren.</v>
      </c>
      <c r="G94" s="3" t="str">
        <f ca="1">IFERROR(__xludf.DUMMYFUNCTION("GOOGLETRANSLATE(A94,""en"",""it"")"),"Se sei NUOVO in LARA, seleziona Menu/Registrazione per registrare la tua copia di LARA.")</f>
        <v>Se sei NUOVO in LARA, seleziona Menu/Registrazione per registrare la tua copia di LARA.</v>
      </c>
      <c r="H94" s="3" t="str">
        <f ca="1">IFERROR(__xludf.DUMMYFUNCTION("GOOGLETRANSLATE(A94,""en"",""nl"")"),"Als u NIEUW bent bij LARA, selecteer dan Menu/Registratie om uw exemplaar van LARA te registreren.")</f>
        <v>Als u NIEUW bent bij LARA, selecteer dan Menu/Registratie om uw exemplaar van LARA te registreren.</v>
      </c>
      <c r="I94" s="3" t="str">
        <f ca="1">IFERROR(__xludf.DUMMYFUNCTION("GOOGLETRANSLATE(A94,""en"",""eu"")"),"LARAn BERRIA bazara, mesedez hautatu Menua/Erregistroa LARAren kopia erregistratzeko.")</f>
        <v>LARAn BERRIA bazara, mesedez hautatu Menua/Erregistroa LARAren kopia erregistratzeko.</v>
      </c>
      <c r="J94" s="3" t="str">
        <f ca="1">IFERROR(__xludf.DUMMYFUNCTION("GOOGLETRANSLATE(A94,""en"",""gl"")"),"Se es NOVO en LARA, selecciona Menú/Rexistro para rexistrar a túa copia de LARA.")</f>
        <v>Se es NOVO en LARA, selecciona Menú/Rexistro para rexistrar a túa copia de LARA.</v>
      </c>
      <c r="K94" s="3" t="str">
        <f ca="1">IFERROR(__xludf.DUMMYFUNCTION("GOOGLETRANSLATE(A94,""en"",""zh"")"),"如果您是 LARA 新手，请选择菜单/注册来注册您的 LARA 副本。")</f>
        <v>如果您是 LARA 新手，请选择菜单/注册来注册您的 LARA 副本。</v>
      </c>
    </row>
    <row r="95" spans="1:11" x14ac:dyDescent="0.2">
      <c r="A95" s="4" t="s">
        <v>104</v>
      </c>
      <c r="B95" s="3" t="str">
        <f t="shared" si="0"/>
        <v>Incorrect</v>
      </c>
      <c r="C95" s="3" t="str">
        <f ca="1">IFERROR(__xludf.DUMMYFUNCTION("GOOGLETRANSLATE(A95,""en"",""es"")"),"Incorrecto")</f>
        <v>Incorrecto</v>
      </c>
      <c r="D95" s="3" t="str">
        <f ca="1">IFERROR(__xludf.DUMMYFUNCTION("GOOGLETRANSLATE(A95,""en"",""ca"")"),"Incorrecte")</f>
        <v>Incorrecte</v>
      </c>
      <c r="E95" s="3" t="str">
        <f ca="1">IFERROR(__xludf.DUMMYFUNCTION("GOOGLETRANSLATE(A95,""en"",""fr"")"),"Incorrect")</f>
        <v>Incorrect</v>
      </c>
      <c r="F95" s="3" t="str">
        <f ca="1">IFERROR(__xludf.DUMMYFUNCTION("GOOGLETRANSLATE(A95,""en"",""de"")"),"Falsch")</f>
        <v>Falsch</v>
      </c>
      <c r="G95" s="3" t="str">
        <f ca="1">IFERROR(__xludf.DUMMYFUNCTION("GOOGLETRANSLATE(A95,""en"",""it"")"),"Errato")</f>
        <v>Errato</v>
      </c>
      <c r="H95" s="3" t="str">
        <f ca="1">IFERROR(__xludf.DUMMYFUNCTION("GOOGLETRANSLATE(A95,""en"",""nl"")"),"Onjuist")</f>
        <v>Onjuist</v>
      </c>
      <c r="I95" s="3" t="str">
        <f ca="1">IFERROR(__xludf.DUMMYFUNCTION("GOOGLETRANSLATE(A95,""en"",""eu"")"),"Okerra")</f>
        <v>Okerra</v>
      </c>
      <c r="J95" s="3" t="str">
        <f ca="1">IFERROR(__xludf.DUMMYFUNCTION("GOOGLETRANSLATE(A95,""en"",""gl"")"),"Incorrecto")</f>
        <v>Incorrecto</v>
      </c>
      <c r="K95" s="3" t="str">
        <f ca="1">IFERROR(__xludf.DUMMYFUNCTION("GOOGLETRANSLATE(A95,""en"",""zh"")"),"不正确")</f>
        <v>不正确</v>
      </c>
    </row>
    <row r="96" spans="1:11" x14ac:dyDescent="0.2">
      <c r="A96" s="4" t="s">
        <v>105</v>
      </c>
      <c r="B96" s="3" t="str">
        <f t="shared" si="0"/>
        <v>Info</v>
      </c>
      <c r="C96" s="3" t="str">
        <f ca="1">IFERROR(__xludf.DUMMYFUNCTION("GOOGLETRANSLATE(A96,""en"",""es"")"),"Información")</f>
        <v>Información</v>
      </c>
      <c r="D96" s="3" t="str">
        <f ca="1">IFERROR(__xludf.DUMMYFUNCTION("GOOGLETRANSLATE(A96,""en"",""ca"")"),"Informació")</f>
        <v>Informació</v>
      </c>
      <c r="E96" s="3" t="str">
        <f ca="1">IFERROR(__xludf.DUMMYFUNCTION("GOOGLETRANSLATE(A96,""en"",""fr"")"),"Informations")</f>
        <v>Informations</v>
      </c>
      <c r="F96" s="3" t="str">
        <f ca="1">IFERROR(__xludf.DUMMYFUNCTION("GOOGLETRANSLATE(A96,""en"",""de"")"),"Info")</f>
        <v>Info</v>
      </c>
      <c r="G96" s="3" t="str">
        <f ca="1">IFERROR(__xludf.DUMMYFUNCTION("GOOGLETRANSLATE(A96,""en"",""it"")"),"Informazioni")</f>
        <v>Informazioni</v>
      </c>
      <c r="H96" s="3" t="str">
        <f ca="1">IFERROR(__xludf.DUMMYFUNCTION("GOOGLETRANSLATE(A96,""en"",""nl"")"),"Informatie")</f>
        <v>Informatie</v>
      </c>
      <c r="I96" s="3" t="str">
        <f ca="1">IFERROR(__xludf.DUMMYFUNCTION("GOOGLETRANSLATE(A96,""en"",""eu"")"),"Info")</f>
        <v>Info</v>
      </c>
      <c r="J96" s="3" t="str">
        <f ca="1">IFERROR(__xludf.DUMMYFUNCTION("GOOGLETRANSLATE(A96,""en"",""gl"")"),"Información")</f>
        <v>Información</v>
      </c>
      <c r="K96" s="3" t="str">
        <f ca="1">IFERROR(__xludf.DUMMYFUNCTION("GOOGLETRANSLATE(A96,""en"",""zh"")"),"信息")</f>
        <v>信息</v>
      </c>
    </row>
    <row r="97" spans="1:11" x14ac:dyDescent="0.2">
      <c r="A97" s="4" t="s">
        <v>106</v>
      </c>
      <c r="B97" s="3" t="str">
        <f t="shared" si="0"/>
        <v>Is VIN Correct?</v>
      </c>
      <c r="C97" s="3" t="str">
        <f ca="1">IFERROR(__xludf.DUMMYFUNCTION("GOOGLETRANSLATE(A97,""en"",""es"")"),"¿Es el VIN correcto?")</f>
        <v>¿Es el VIN correcto?</v>
      </c>
      <c r="D97" s="3" t="str">
        <f ca="1">IFERROR(__xludf.DUMMYFUNCTION("GOOGLETRANSLATE(A97,""en"",""ca"")"),"El VIN és correcte?")</f>
        <v>El VIN és correcte?</v>
      </c>
      <c r="E97" s="3" t="str">
        <f ca="1">IFERROR(__xludf.DUMMYFUNCTION("GOOGLETRANSLATE(A97,""en"",""fr"")"),"Le NIV est-il correct ?")</f>
        <v>Le NIV est-il correct ?</v>
      </c>
      <c r="F97" s="3" t="str">
        <f ca="1">IFERROR(__xludf.DUMMYFUNCTION("GOOGLETRANSLATE(A97,""en"",""de"")"),"Ist die VIN korrekt?")</f>
        <v>Ist die VIN korrekt?</v>
      </c>
      <c r="G97" s="3" t="str">
        <f ca="1">IFERROR(__xludf.DUMMYFUNCTION("GOOGLETRANSLATE(A97,""en"",""it"")"),"Il VIN è corretto?")</f>
        <v>Il VIN è corretto?</v>
      </c>
      <c r="H97" s="3" t="str">
        <f ca="1">IFERROR(__xludf.DUMMYFUNCTION("GOOGLETRANSLATE(A97,""en"",""nl"")"),"Is het VIN-nummer correct?")</f>
        <v>Is het VIN-nummer correct?</v>
      </c>
      <c r="I97" s="3" t="str">
        <f ca="1">IFERROR(__xludf.DUMMYFUNCTION("GOOGLETRANSLATE(A97,""en"",""eu"")"),"VIN zuzena al da?")</f>
        <v>VIN zuzena al da?</v>
      </c>
      <c r="J97" s="3" t="str">
        <f ca="1">IFERROR(__xludf.DUMMYFUNCTION("GOOGLETRANSLATE(A97,""en"",""gl"")"),"O VIN é correcto?")</f>
        <v>O VIN é correcto?</v>
      </c>
      <c r="K97" s="3" t="str">
        <f ca="1">IFERROR(__xludf.DUMMYFUNCTION("GOOGLETRANSLATE(A97,""en"",""zh"")"),"VIN 正确吗？")</f>
        <v>VIN 正确吗？</v>
      </c>
    </row>
    <row r="98" spans="1:11" x14ac:dyDescent="0.2">
      <c r="A98" s="4" t="s">
        <v>107</v>
      </c>
      <c r="B98" s="3" t="str">
        <f t="shared" si="0"/>
        <v>Key</v>
      </c>
      <c r="C98" s="3" t="str">
        <f ca="1">IFERROR(__xludf.DUMMYFUNCTION("GOOGLETRANSLATE(A98,""en"",""es"")"),"Llave")</f>
        <v>Llave</v>
      </c>
      <c r="D98" s="3" t="str">
        <f ca="1">IFERROR(__xludf.DUMMYFUNCTION("GOOGLETRANSLATE(A98,""en"",""ca"")"),"clau")</f>
        <v>clau</v>
      </c>
      <c r="E98" s="3" t="str">
        <f ca="1">IFERROR(__xludf.DUMMYFUNCTION("GOOGLETRANSLATE(A98,""en"",""fr"")"),"Clé")</f>
        <v>Clé</v>
      </c>
      <c r="F98" s="3" t="str">
        <f ca="1">IFERROR(__xludf.DUMMYFUNCTION("GOOGLETRANSLATE(A98,""en"",""de"")"),"Schlüssel")</f>
        <v>Schlüssel</v>
      </c>
      <c r="G98" s="3" t="str">
        <f ca="1">IFERROR(__xludf.DUMMYFUNCTION("GOOGLETRANSLATE(A98,""en"",""it"")"),"Chiave")</f>
        <v>Chiave</v>
      </c>
      <c r="H98" s="3" t="str">
        <f ca="1">IFERROR(__xludf.DUMMYFUNCTION("GOOGLETRANSLATE(A98,""en"",""nl"")"),"Sleutel")</f>
        <v>Sleutel</v>
      </c>
      <c r="I98" s="3" t="str">
        <f ca="1">IFERROR(__xludf.DUMMYFUNCTION("GOOGLETRANSLATE(A98,""en"",""eu"")"),"Gakoa")</f>
        <v>Gakoa</v>
      </c>
      <c r="J98" s="3" t="str">
        <f ca="1">IFERROR(__xludf.DUMMYFUNCTION("GOOGLETRANSLATE(A98,""en"",""gl"")"),"Chave")</f>
        <v>Chave</v>
      </c>
      <c r="K98" s="3" t="str">
        <f ca="1">IFERROR(__xludf.DUMMYFUNCTION("GOOGLETRANSLATE(A98,""en"",""zh"")"),"钥匙")</f>
        <v>钥匙</v>
      </c>
    </row>
    <row r="99" spans="1:11" x14ac:dyDescent="0.2">
      <c r="A99" s="4" t="s">
        <v>108</v>
      </c>
      <c r="B99" s="3" t="str">
        <f t="shared" si="0"/>
        <v>Keyblank</v>
      </c>
      <c r="C99" s="3" t="str">
        <f ca="1">IFERROR(__xludf.DUMMYFUNCTION("GOOGLETRANSLATE(A99,""en"",""es"")"),"llave en blanco")</f>
        <v>llave en blanco</v>
      </c>
      <c r="D99" s="3" t="str">
        <f ca="1">IFERROR(__xludf.DUMMYFUNCTION("GOOGLETRANSLATE(A99,""en"",""ca"")"),"Clau en blanc")</f>
        <v>Clau en blanc</v>
      </c>
      <c r="E99" s="3" t="str">
        <f ca="1">IFERROR(__xludf.DUMMYFUNCTION("GOOGLETRANSLATE(A99,""en"",""fr"")"),"Clé vierge")</f>
        <v>Clé vierge</v>
      </c>
      <c r="F99" s="3" t="str">
        <f ca="1">IFERROR(__xludf.DUMMYFUNCTION("GOOGLETRANSLATE(A99,""en"",""de"")"),"Schlüsselrohling")</f>
        <v>Schlüsselrohling</v>
      </c>
      <c r="G99" s="3" t="str">
        <f ca="1">IFERROR(__xludf.DUMMYFUNCTION("GOOGLETRANSLATE(A99,""en"",""it"")"),"Chiave grezza")</f>
        <v>Chiave grezza</v>
      </c>
      <c r="H99" s="3" t="str">
        <f ca="1">IFERROR(__xludf.DUMMYFUNCTION("GOOGLETRANSLATE(A99,""en"",""nl"")"),"Sleutel leeg")</f>
        <v>Sleutel leeg</v>
      </c>
      <c r="I99" s="3" t="str">
        <f ca="1">IFERROR(__xludf.DUMMYFUNCTION("GOOGLETRANSLATE(A99,""en"",""eu"")"),"Giltza hutsa")</f>
        <v>Giltza hutsa</v>
      </c>
      <c r="J99" s="3" t="str">
        <f ca="1">IFERROR(__xludf.DUMMYFUNCTION("GOOGLETRANSLATE(A99,""en"",""gl"")"),"Chave en branco")</f>
        <v>Chave en branco</v>
      </c>
      <c r="K99" s="3" t="str">
        <f ca="1">IFERROR(__xludf.DUMMYFUNCTION("GOOGLETRANSLATE(A99,""en"",""zh"")"),"键盘空白")</f>
        <v>键盘空白</v>
      </c>
    </row>
    <row r="100" spans="1:11" x14ac:dyDescent="0.2">
      <c r="A100" s="4" t="s">
        <v>109</v>
      </c>
      <c r="B100" s="3" t="str">
        <f t="shared" si="0"/>
        <v>Keyway?</v>
      </c>
      <c r="C100" s="3" t="str">
        <f ca="1">IFERROR(__xludf.DUMMYFUNCTION("GOOGLETRANSLATE(A100,""en"",""es"")"),"¿Chavetero?")</f>
        <v>¿Chavetero?</v>
      </c>
      <c r="D100" s="3" t="str">
        <f ca="1">IFERROR(__xludf.DUMMYFUNCTION("GOOGLETRANSLATE(A100,""en"",""ca"")"),"Keyway?")</f>
        <v>Keyway?</v>
      </c>
      <c r="E100" s="3" t="str">
        <f ca="1">IFERROR(__xludf.DUMMYFUNCTION("GOOGLETRANSLATE(A100,""en"",""fr"")"),"Passage de clé ?")</f>
        <v>Passage de clé ?</v>
      </c>
      <c r="F100" s="3" t="str">
        <f ca="1">IFERROR(__xludf.DUMMYFUNCTION("GOOGLETRANSLATE(A100,""en"",""de"")"),"Keilnut?")</f>
        <v>Keilnut?</v>
      </c>
      <c r="G100" s="3" t="str">
        <f ca="1">IFERROR(__xludf.DUMMYFUNCTION("GOOGLETRANSLATE(A100,""en"",""it"")"),"Chiavetta?")</f>
        <v>Chiavetta?</v>
      </c>
      <c r="H100" s="3" t="str">
        <f ca="1">IFERROR(__xludf.DUMMYFUNCTION("GOOGLETRANSLATE(A100,""en"",""nl"")"),"Spiebaan?")</f>
        <v>Spiebaan?</v>
      </c>
      <c r="I100" s="3" t="str">
        <f ca="1">IFERROR(__xludf.DUMMYFUNCTION("GOOGLETRANSLATE(A100,""en"",""eu"")"),"Giltza?")</f>
        <v>Giltza?</v>
      </c>
      <c r="J100" s="3" t="str">
        <f ca="1">IFERROR(__xludf.DUMMYFUNCTION("GOOGLETRANSLATE(A100,""en"",""gl"")"),"Chaveiro?")</f>
        <v>Chaveiro?</v>
      </c>
      <c r="K100" s="3" t="str">
        <f ca="1">IFERROR(__xludf.DUMMYFUNCTION("GOOGLETRANSLATE(A100,""en"",""zh"")"),"键槽？")</f>
        <v>键槽？</v>
      </c>
    </row>
    <row r="101" spans="1:11" x14ac:dyDescent="0.2">
      <c r="A101" s="4" t="s">
        <v>110</v>
      </c>
      <c r="B101" s="3" t="str">
        <f t="shared" si="0"/>
        <v>Know your key machine to use the correct code</v>
      </c>
      <c r="C101" s="3" t="str">
        <f ca="1">IFERROR(__xludf.DUMMYFUNCTION("GOOGLETRANSLATE(A101,""en"",""es"")"),"Conozca su máquina clave para usar el código correcto")</f>
        <v>Conozca su máquina clave para usar el código correcto</v>
      </c>
      <c r="D101" s="3" t="str">
        <f ca="1">IFERROR(__xludf.DUMMYFUNCTION("GOOGLETRANSLATE(A101,""en"",""ca"")"),"Coneix la teva màquina clau per utilitzar el codi correcte")</f>
        <v>Coneix la teva màquina clau per utilitzar el codi correcte</v>
      </c>
      <c r="E101" s="3" t="str">
        <f ca="1">IFERROR(__xludf.DUMMYFUNCTION("GOOGLETRANSLATE(A101,""en"",""fr"")"),"Connaissez votre machine clé pour utiliser le bon code")</f>
        <v>Connaissez votre machine clé pour utiliser le bon code</v>
      </c>
      <c r="F101" s="3" t="str">
        <f ca="1">IFERROR(__xludf.DUMMYFUNCTION("GOOGLETRANSLATE(A101,""en"",""de"")"),"Kennen Sie Ihren Schlüsselautomaten, um den richtigen Code zu verwenden")</f>
        <v>Kennen Sie Ihren Schlüsselautomaten, um den richtigen Code zu verwenden</v>
      </c>
      <c r="G101" s="3" t="str">
        <f ca="1">IFERROR(__xludf.DUMMYFUNCTION("GOOGLETRANSLATE(A101,""en"",""it"")"),"Conosci la tua macchina per chiavi per utilizzare il codice corretto")</f>
        <v>Conosci la tua macchina per chiavi per utilizzare il codice corretto</v>
      </c>
      <c r="H101" s="3" t="str">
        <f ca="1">IFERROR(__xludf.DUMMYFUNCTION("GOOGLETRANSLATE(A101,""en"",""nl"")"),"Zorg ervoor dat uw sleutelmachine de juiste code gebruikt")</f>
        <v>Zorg ervoor dat uw sleutelmachine de juiste code gebruikt</v>
      </c>
      <c r="I101" s="3" t="str">
        <f ca="1">IFERROR(__xludf.DUMMYFUNCTION("GOOGLETRANSLATE(A101,""en"",""eu"")"),"Ezagutu zure giltza-makina kodea zuzena erabiltzeko")</f>
        <v>Ezagutu zure giltza-makina kodea zuzena erabiltzeko</v>
      </c>
      <c r="J101" s="3" t="str">
        <f ca="1">IFERROR(__xludf.DUMMYFUNCTION("GOOGLETRANSLATE(A101,""en"",""gl"")"),"Coñece a túa máquina de chaves para usar o código correcto")</f>
        <v>Coñece a túa máquina de chaves para usar o código correcto</v>
      </c>
      <c r="K101" s="3" t="str">
        <f ca="1">IFERROR(__xludf.DUMMYFUNCTION("GOOGLETRANSLATE(A101,""en"",""zh"")"),"了解您的钥匙机以使用正确的代码")</f>
        <v>了解您的钥匙机以使用正确的代码</v>
      </c>
    </row>
    <row r="102" spans="1:11" x14ac:dyDescent="0.2">
      <c r="A102" s="4" t="s">
        <v>111</v>
      </c>
      <c r="B102" s="3" t="str">
        <f t="shared" si="0"/>
        <v>Launch KeyDIY App</v>
      </c>
      <c r="C102" s="3" t="str">
        <f ca="1">IFERROR(__xludf.DUMMYFUNCTION("GOOGLETRANSLATE(A102,""en"",""es"")"),"Inicie la aplicación KeyDIY")</f>
        <v>Inicie la aplicación KeyDIY</v>
      </c>
      <c r="D102" s="3" t="str">
        <f ca="1">IFERROR(__xludf.DUMMYFUNCTION("GOOGLETRANSLATE(A102,""en"",""ca"")"),"Inicieu l'aplicació KeyDIY")</f>
        <v>Inicieu l'aplicació KeyDIY</v>
      </c>
      <c r="E102" s="3" t="str">
        <f ca="1">IFERROR(__xludf.DUMMYFUNCTION("GOOGLETRANSLATE(A102,""en"",""fr"")"),"Lancez l'application KeyDIY")</f>
        <v>Lancez l'application KeyDIY</v>
      </c>
      <c r="F102" s="3" t="str">
        <f ca="1">IFERROR(__xludf.DUMMYFUNCTION("GOOGLETRANSLATE(A102,""en"",""de"")"),"Starten Sie die KeyDIY-App")</f>
        <v>Starten Sie die KeyDIY-App</v>
      </c>
      <c r="G102" s="3" t="str">
        <f ca="1">IFERROR(__xludf.DUMMYFUNCTION("GOOGLETRANSLATE(A102,""en"",""it"")"),"Avvia l'app KeyDIY")</f>
        <v>Avvia l'app KeyDIY</v>
      </c>
      <c r="H102" s="3" t="str">
        <f ca="1">IFERROR(__xludf.DUMMYFUNCTION("GOOGLETRANSLATE(A102,""en"",""nl"")"),"Start de KeyDIY-app")</f>
        <v>Start de KeyDIY-app</v>
      </c>
      <c r="I102" s="3" t="str">
        <f ca="1">IFERROR(__xludf.DUMMYFUNCTION("GOOGLETRANSLATE(A102,""en"",""eu"")"),"Abiarazi KeyDIY aplikazioa")</f>
        <v>Abiarazi KeyDIY aplikazioa</v>
      </c>
      <c r="J102" s="3" t="str">
        <f ca="1">IFERROR(__xludf.DUMMYFUNCTION("GOOGLETRANSLATE(A102,""en"",""gl"")"),"Inicia a aplicación KeyDIY")</f>
        <v>Inicia a aplicación KeyDIY</v>
      </c>
      <c r="K102" s="3" t="str">
        <f ca="1">IFERROR(__xludf.DUMMYFUNCTION("GOOGLETRANSLATE(A102,""en"",""zh"")"),"启动KeyDIY应用程序")</f>
        <v>启动KeyDIY应用程序</v>
      </c>
    </row>
    <row r="103" spans="1:11" x14ac:dyDescent="0.2">
      <c r="A103" s="4" t="s">
        <v>112</v>
      </c>
      <c r="B103" s="3" t="str">
        <f t="shared" si="0"/>
        <v>Launch XHorse App</v>
      </c>
      <c r="C103" s="3" t="str">
        <f ca="1">IFERROR(__xludf.DUMMYFUNCTION("GOOGLETRANSLATE(A103,""en"",""es"")"),"Inicie la aplicación XHorse")</f>
        <v>Inicie la aplicación XHorse</v>
      </c>
      <c r="D103" s="3" t="str">
        <f ca="1">IFERROR(__xludf.DUMMYFUNCTION("GOOGLETRANSLATE(A103,""en"",""ca"")"),"Inicieu l'aplicació XHorse")</f>
        <v>Inicieu l'aplicació XHorse</v>
      </c>
      <c r="E103" s="3" t="str">
        <f ca="1">IFERROR(__xludf.DUMMYFUNCTION("GOOGLETRANSLATE(A103,""en"",""fr"")"),"Lancez l'application XHorse")</f>
        <v>Lancez l'application XHorse</v>
      </c>
      <c r="F103" s="3" t="str">
        <f ca="1">IFERROR(__xludf.DUMMYFUNCTION("GOOGLETRANSLATE(A103,""en"",""de"")"),"Starten Sie die XHorse-App")</f>
        <v>Starten Sie die XHorse-App</v>
      </c>
      <c r="G103" s="3" t="str">
        <f ca="1">IFERROR(__xludf.DUMMYFUNCTION("GOOGLETRANSLATE(A103,""en"",""it"")"),"Avvia l'app XHorse")</f>
        <v>Avvia l'app XHorse</v>
      </c>
      <c r="H103" s="3" t="str">
        <f ca="1">IFERROR(__xludf.DUMMYFUNCTION("GOOGLETRANSLATE(A103,""en"",""nl"")"),"Start de XHorse-app")</f>
        <v>Start de XHorse-app</v>
      </c>
      <c r="I103" s="3" t="str">
        <f ca="1">IFERROR(__xludf.DUMMYFUNCTION("GOOGLETRANSLATE(A103,""en"",""eu"")"),"Abiarazi XHorse aplikazioa")</f>
        <v>Abiarazi XHorse aplikazioa</v>
      </c>
      <c r="J103" s="3" t="str">
        <f ca="1">IFERROR(__xludf.DUMMYFUNCTION("GOOGLETRANSLATE(A103,""en"",""gl"")"),"Inicie a aplicación XHorse")</f>
        <v>Inicie a aplicación XHorse</v>
      </c>
      <c r="K103" s="3" t="str">
        <f ca="1">IFERROR(__xludf.DUMMYFUNCTION("GOOGLETRANSLATE(A103,""en"",""zh"")"),"启动XHorse应用程序")</f>
        <v>启动XHorse应用程序</v>
      </c>
    </row>
    <row r="104" spans="1:11" x14ac:dyDescent="0.2">
      <c r="A104" s="4" t="s">
        <v>113</v>
      </c>
      <c r="B104" s="3" t="str">
        <f t="shared" si="0"/>
        <v>LARA 12 Month Subscription</v>
      </c>
      <c r="C104" s="3" t="str">
        <f ca="1">IFERROR(__xludf.DUMMYFUNCTION("GOOGLETRANSLATE(A104,""en"",""es"")"),"Suscripción LARA de 12 meses")</f>
        <v>Suscripción LARA de 12 meses</v>
      </c>
      <c r="D104" s="3" t="str">
        <f ca="1">IFERROR(__xludf.DUMMYFUNCTION("GOOGLETRANSLATE(A104,""en"",""ca"")"),"Subscripció LARA 12 mesos")</f>
        <v>Subscripció LARA 12 mesos</v>
      </c>
      <c r="E104" s="3" t="str">
        <f ca="1">IFERROR(__xludf.DUMMYFUNCTION("GOOGLETRANSLATE(A104,""en"",""fr"")"),"Abonnement LARA de 12 mois")</f>
        <v>Abonnement LARA de 12 mois</v>
      </c>
      <c r="F104" s="3" t="str">
        <f ca="1">IFERROR(__xludf.DUMMYFUNCTION("GOOGLETRANSLATE(A104,""en"",""de"")"),"LARA 12-Monats-Abonnement")</f>
        <v>LARA 12-Monats-Abonnement</v>
      </c>
      <c r="G104" s="3" t="str">
        <f ca="1">IFERROR(__xludf.DUMMYFUNCTION("GOOGLETRANSLATE(A104,""en"",""it"")"),"Abbonamento LARA di 12 mesi")</f>
        <v>Abbonamento LARA di 12 mesi</v>
      </c>
      <c r="H104" s="3" t="str">
        <f ca="1">IFERROR(__xludf.DUMMYFUNCTION("GOOGLETRANSLATE(A104,""en"",""nl"")"),"LARA-abonnement van 12 maanden")</f>
        <v>LARA-abonnement van 12 maanden</v>
      </c>
      <c r="I104" s="3" t="str">
        <f ca="1">IFERROR(__xludf.DUMMYFUNCTION("GOOGLETRANSLATE(A104,""en"",""eu"")"),"LARA 12 hilabeteko harpidetza")</f>
        <v>LARA 12 hilabeteko harpidetza</v>
      </c>
      <c r="J104" s="3" t="str">
        <f ca="1">IFERROR(__xludf.DUMMYFUNCTION("GOOGLETRANSLATE(A104,""en"",""gl"")"),"Subscrición LARA 12 meses")</f>
        <v>Subscrición LARA 12 meses</v>
      </c>
      <c r="K104" s="3" t="str">
        <f ca="1">IFERROR(__xludf.DUMMYFUNCTION("GOOGLETRANSLATE(A104,""en"",""zh"")"),"LARA 12 个月订阅")</f>
        <v>LARA 12 个月订阅</v>
      </c>
    </row>
    <row r="105" spans="1:11" x14ac:dyDescent="0.2">
      <c r="A105" s="4" t="s">
        <v>114</v>
      </c>
      <c r="B105" s="3" t="str">
        <f t="shared" si="0"/>
        <v>LARA 6 Month Subscription</v>
      </c>
      <c r="C105" s="3" t="str">
        <f ca="1">IFERROR(__xludf.DUMMYFUNCTION("GOOGLETRANSLATE(A105,""en"",""es"")"),"Suscripción LARA de 6 meses")</f>
        <v>Suscripción LARA de 6 meses</v>
      </c>
      <c r="D105" s="3" t="str">
        <f ca="1">IFERROR(__xludf.DUMMYFUNCTION("GOOGLETRANSLATE(A105,""en"",""ca"")"),"Subscripció LARA 6 mesos")</f>
        <v>Subscripció LARA 6 mesos</v>
      </c>
      <c r="E105" s="3" t="str">
        <f ca="1">IFERROR(__xludf.DUMMYFUNCTION("GOOGLETRANSLATE(A105,""en"",""fr"")"),"Abonnement LARA de 6 mois")</f>
        <v>Abonnement LARA de 6 mois</v>
      </c>
      <c r="F105" s="3" t="str">
        <f ca="1">IFERROR(__xludf.DUMMYFUNCTION("GOOGLETRANSLATE(A105,""en"",""de"")"),"LARA 6-Monats-Abonnement")</f>
        <v>LARA 6-Monats-Abonnement</v>
      </c>
      <c r="G105" s="3" t="str">
        <f ca="1">IFERROR(__xludf.DUMMYFUNCTION("GOOGLETRANSLATE(A105,""en"",""it"")"),"Abbonamento LARA di 6 mesi")</f>
        <v>Abbonamento LARA di 6 mesi</v>
      </c>
      <c r="H105" s="3" t="str">
        <f ca="1">IFERROR(__xludf.DUMMYFUNCTION("GOOGLETRANSLATE(A105,""en"",""nl"")"),"LARA-abonnement van 6 maanden")</f>
        <v>LARA-abonnement van 6 maanden</v>
      </c>
      <c r="I105" s="3" t="str">
        <f ca="1">IFERROR(__xludf.DUMMYFUNCTION("GOOGLETRANSLATE(A105,""en"",""eu"")"),"LARA 6 hilabeteko harpidetza")</f>
        <v>LARA 6 hilabeteko harpidetza</v>
      </c>
      <c r="J105" s="3" t="str">
        <f ca="1">IFERROR(__xludf.DUMMYFUNCTION("GOOGLETRANSLATE(A105,""en"",""gl"")"),"Subscrición LARA de 6 meses")</f>
        <v>Subscrición LARA de 6 meses</v>
      </c>
      <c r="K105" s="3" t="str">
        <f ca="1">IFERROR(__xludf.DUMMYFUNCTION("GOOGLETRANSLATE(A105,""en"",""zh"")"),"LARA 6 个月订阅")</f>
        <v>LARA 6 个月订阅</v>
      </c>
    </row>
    <row r="106" spans="1:11" x14ac:dyDescent="0.2">
      <c r="A106" s="4" t="s">
        <v>115</v>
      </c>
      <c r="B106" s="3" t="str">
        <f t="shared" si="0"/>
        <v>LARA Bikes</v>
      </c>
      <c r="C106" s="3" t="str">
        <f ca="1">IFERROR(__xludf.DUMMYFUNCTION("GOOGLETRANSLATE(A106,""en"",""es"")"),"Bicicletas Lara")</f>
        <v>Bicicletas Lara</v>
      </c>
      <c r="D106" s="3" t="str">
        <f ca="1">IFERROR(__xludf.DUMMYFUNCTION("GOOGLETRANSLATE(A106,""en"",""ca"")"),"LARA Bicicletes")</f>
        <v>LARA Bicicletes</v>
      </c>
      <c r="E106" s="3" t="str">
        <f ca="1">IFERROR(__xludf.DUMMYFUNCTION("GOOGLETRANSLATE(A106,""en"",""fr"")"),"Vélos LARA")</f>
        <v>Vélos LARA</v>
      </c>
      <c r="F106" s="3" t="str">
        <f ca="1">IFERROR(__xludf.DUMMYFUNCTION("GOOGLETRANSLATE(A106,""en"",""de"")"),"LARA Fahrräder")</f>
        <v>LARA Fahrräder</v>
      </c>
      <c r="G106" s="3" t="str">
        <f ca="1">IFERROR(__xludf.DUMMYFUNCTION("GOOGLETRANSLATE(A106,""en"",""it"")"),"Bici LARA")</f>
        <v>Bici LARA</v>
      </c>
      <c r="H106" s="3" t="str">
        <f ca="1">IFERROR(__xludf.DUMMYFUNCTION("GOOGLETRANSLATE(A106,""en"",""nl"")"),"LARA-fietsen")</f>
        <v>LARA-fietsen</v>
      </c>
      <c r="I106" s="3" t="str">
        <f ca="1">IFERROR(__xludf.DUMMYFUNCTION("GOOGLETRANSLATE(A106,""en"",""eu"")"),"LARA Bizikletak")</f>
        <v>LARA Bizikletak</v>
      </c>
      <c r="J106" s="3" t="str">
        <f ca="1">IFERROR(__xludf.DUMMYFUNCTION("GOOGLETRANSLATE(A106,""en"",""gl"")"),"Bicicletas LARA")</f>
        <v>Bicicletas LARA</v>
      </c>
      <c r="K106" s="3" t="str">
        <f ca="1">IFERROR(__xludf.DUMMYFUNCTION("GOOGLETRANSLATE(A106,""en"",""zh"")"),"拉拉自行车")</f>
        <v>拉拉自行车</v>
      </c>
    </row>
    <row r="107" spans="1:11" x14ac:dyDescent="0.2">
      <c r="A107" s="4" t="s">
        <v>116</v>
      </c>
      <c r="B107" s="3" t="str">
        <f t="shared" si="0"/>
        <v>LARA Cars</v>
      </c>
      <c r="C107" s="3" t="str">
        <f ca="1">IFERROR(__xludf.DUMMYFUNCTION("GOOGLETRANSLATE(A107,""en"",""es"")"),"Coches Lara")</f>
        <v>Coches Lara</v>
      </c>
      <c r="D107" s="3" t="str">
        <f ca="1">IFERROR(__xludf.DUMMYFUNCTION("GOOGLETRANSLATE(A107,""en"",""ca"")"),"LARA Cars")</f>
        <v>LARA Cars</v>
      </c>
      <c r="E107" s="3" t="str">
        <f ca="1">IFERROR(__xludf.DUMMYFUNCTION("GOOGLETRANSLATE(A107,""en"",""fr"")"),"Voitures LARA")</f>
        <v>Voitures LARA</v>
      </c>
      <c r="F107" s="3" t="str">
        <f ca="1">IFERROR(__xludf.DUMMYFUNCTION("GOOGLETRANSLATE(A107,""en"",""de"")"),"LARA Autos")</f>
        <v>LARA Autos</v>
      </c>
      <c r="G107" s="3" t="str">
        <f ca="1">IFERROR(__xludf.DUMMYFUNCTION("GOOGLETRANSLATE(A107,""en"",""it"")"),"LARA Auto")</f>
        <v>LARA Auto</v>
      </c>
      <c r="H107" s="3" t="str">
        <f ca="1">IFERROR(__xludf.DUMMYFUNCTION("GOOGLETRANSLATE(A107,""en"",""nl"")"),"LARA-auto's")</f>
        <v>LARA-auto's</v>
      </c>
      <c r="I107" s="3" t="str">
        <f ca="1">IFERROR(__xludf.DUMMYFUNCTION("GOOGLETRANSLATE(A107,""en"",""eu"")"),"LARA Autoak")</f>
        <v>LARA Autoak</v>
      </c>
      <c r="J107" s="3" t="str">
        <f ca="1">IFERROR(__xludf.DUMMYFUNCTION("GOOGLETRANSLATE(A107,""en"",""gl"")"),"LARA Cars")</f>
        <v>LARA Cars</v>
      </c>
      <c r="K107" s="3" t="str">
        <f ca="1">IFERROR(__xludf.DUMMYFUNCTION("GOOGLETRANSLATE(A107,""en"",""zh"")"),"拉拉汽车")</f>
        <v>拉拉汽车</v>
      </c>
    </row>
    <row r="108" spans="1:11" x14ac:dyDescent="0.2">
      <c r="A108" s="4" t="s">
        <v>117</v>
      </c>
      <c r="B108" s="3" t="str">
        <f t="shared" si="0"/>
        <v>LARA Codes Online</v>
      </c>
      <c r="C108" s="3" t="str">
        <f ca="1">IFERROR(__xludf.DUMMYFUNCTION("GOOGLETRANSLATE(A108,""en"",""es"")"),"Códigos LARA en línea")</f>
        <v>Códigos LARA en línea</v>
      </c>
      <c r="D108" s="3" t="str">
        <f ca="1">IFERROR(__xludf.DUMMYFUNCTION("GOOGLETRANSLATE(A108,""en"",""ca"")"),"Codis LARA en línia")</f>
        <v>Codis LARA en línia</v>
      </c>
      <c r="E108" s="3" t="str">
        <f ca="1">IFERROR(__xludf.DUMMYFUNCTION("GOOGLETRANSLATE(A108,""en"",""fr"")"),"Codes LARA en ligne")</f>
        <v>Codes LARA en ligne</v>
      </c>
      <c r="F108" s="3" t="str">
        <f ca="1">IFERROR(__xludf.DUMMYFUNCTION("GOOGLETRANSLATE(A108,""en"",""de"")"),"LARA-Codes online")</f>
        <v>LARA-Codes online</v>
      </c>
      <c r="G108" s="3" t="str">
        <f ca="1">IFERROR(__xludf.DUMMYFUNCTION("GOOGLETRANSLATE(A108,""en"",""it"")"),"Codici LARA online")</f>
        <v>Codici LARA online</v>
      </c>
      <c r="H108" s="3" t="str">
        <f ca="1">IFERROR(__xludf.DUMMYFUNCTION("GOOGLETRANSLATE(A108,""en"",""nl"")"),"LARA-codes online")</f>
        <v>LARA-codes online</v>
      </c>
      <c r="I108" s="3" t="str">
        <f ca="1">IFERROR(__xludf.DUMMYFUNCTION("GOOGLETRANSLATE(A108,""en"",""eu"")"),"LARA kodeak sarean")</f>
        <v>LARA kodeak sarean</v>
      </c>
      <c r="J108" s="3" t="str">
        <f ca="1">IFERROR(__xludf.DUMMYFUNCTION("GOOGLETRANSLATE(A108,""en"",""gl"")"),"Códigos LARA en liña")</f>
        <v>Códigos LARA en liña</v>
      </c>
      <c r="K108" s="3" t="str">
        <f ca="1">IFERROR(__xludf.DUMMYFUNCTION("GOOGLETRANSLATE(A108,""en"",""zh"")"),"LARA 在线代码")</f>
        <v>LARA 在线代码</v>
      </c>
    </row>
    <row r="109" spans="1:11" x14ac:dyDescent="0.2">
      <c r="A109" s="4" t="s">
        <v>118</v>
      </c>
      <c r="B109" s="3" t="str">
        <f t="shared" si="0"/>
        <v>LARA Messages</v>
      </c>
      <c r="C109" s="3" t="str">
        <f ca="1">IFERROR(__xludf.DUMMYFUNCTION("GOOGLETRANSLATE(A109,""en"",""es"")"),"Mensajes de Lara")</f>
        <v>Mensajes de Lara</v>
      </c>
      <c r="D109" s="3" t="str">
        <f ca="1">IFERROR(__xludf.DUMMYFUNCTION("GOOGLETRANSLATE(A109,""en"",""ca"")"),"Missatges LARA")</f>
        <v>Missatges LARA</v>
      </c>
      <c r="E109" s="3" t="str">
        <f ca="1">IFERROR(__xludf.DUMMYFUNCTION("GOOGLETRANSLATE(A109,""en"",""fr"")"),"Messages de LARA")</f>
        <v>Messages de LARA</v>
      </c>
      <c r="F109" s="3" t="str">
        <f ca="1">IFERROR(__xludf.DUMMYFUNCTION("GOOGLETRANSLATE(A109,""en"",""de"")"),"LARA-Nachrichten")</f>
        <v>LARA-Nachrichten</v>
      </c>
      <c r="G109" s="3" t="str">
        <f ca="1">IFERROR(__xludf.DUMMYFUNCTION("GOOGLETRANSLATE(A109,""en"",""it"")"),"Messaggi LARA")</f>
        <v>Messaggi LARA</v>
      </c>
      <c r="H109" s="3" t="str">
        <f ca="1">IFERROR(__xludf.DUMMYFUNCTION("GOOGLETRANSLATE(A109,""en"",""nl"")"),"LARA-berichten")</f>
        <v>LARA-berichten</v>
      </c>
      <c r="I109" s="3" t="str">
        <f ca="1">IFERROR(__xludf.DUMMYFUNCTION("GOOGLETRANSLATE(A109,""en"",""eu"")"),"LARA Mezuak")</f>
        <v>LARA Mezuak</v>
      </c>
      <c r="J109" s="3" t="str">
        <f ca="1">IFERROR(__xludf.DUMMYFUNCTION("GOOGLETRANSLATE(A109,""en"",""gl"")"),"Mensaxes LARA")</f>
        <v>Mensaxes LARA</v>
      </c>
      <c r="K109" s="3" t="str">
        <f ca="1">IFERROR(__xludf.DUMMYFUNCTION("GOOGLETRANSLATE(A109,""en"",""zh"")"),"拉拉消息")</f>
        <v>拉拉消息</v>
      </c>
    </row>
    <row r="110" spans="1:11" x14ac:dyDescent="0.2">
      <c r="A110" s="4" t="s">
        <v>119</v>
      </c>
      <c r="B110" s="3" t="str">
        <f t="shared" si="0"/>
        <v>LARA Transponders</v>
      </c>
      <c r="C110" s="3" t="str">
        <f ca="1">IFERROR(__xludf.DUMMYFUNCTION("GOOGLETRANSLATE(A110,""en"",""es"")"),"Transpondedores LARA")</f>
        <v>Transpondedores LARA</v>
      </c>
      <c r="D110" s="3" t="str">
        <f ca="1">IFERROR(__xludf.DUMMYFUNCTION("GOOGLETRANSLATE(A110,""en"",""ca"")"),"Transponders LARA")</f>
        <v>Transponders LARA</v>
      </c>
      <c r="E110" s="3" t="str">
        <f ca="1">IFERROR(__xludf.DUMMYFUNCTION("GOOGLETRANSLATE(A110,""en"",""fr"")"),"Transpondeurs LARA")</f>
        <v>Transpondeurs LARA</v>
      </c>
      <c r="F110" s="3" t="str">
        <f ca="1">IFERROR(__xludf.DUMMYFUNCTION("GOOGLETRANSLATE(A110,""en"",""de"")"),"LARA-Transponder")</f>
        <v>LARA-Transponder</v>
      </c>
      <c r="G110" s="3" t="str">
        <f ca="1">IFERROR(__xludf.DUMMYFUNCTION("GOOGLETRANSLATE(A110,""en"",""it"")"),"Transponder LARA")</f>
        <v>Transponder LARA</v>
      </c>
      <c r="H110" s="3" t="str">
        <f ca="1">IFERROR(__xludf.DUMMYFUNCTION("GOOGLETRANSLATE(A110,""en"",""nl"")"),"LARA-transponders")</f>
        <v>LARA-transponders</v>
      </c>
      <c r="I110" s="3" t="str">
        <f ca="1">IFERROR(__xludf.DUMMYFUNCTION("GOOGLETRANSLATE(A110,""en"",""eu"")"),"LARA Transponderak")</f>
        <v>LARA Transponderak</v>
      </c>
      <c r="J110" s="3" t="str">
        <f ca="1">IFERROR(__xludf.DUMMYFUNCTION("GOOGLETRANSLATE(A110,""en"",""gl"")"),"Transpondedores LARA")</f>
        <v>Transpondedores LARA</v>
      </c>
      <c r="K110" s="3" t="str">
        <f ca="1">IFERROR(__xludf.DUMMYFUNCTION("GOOGLETRANSLATE(A110,""en"",""zh"")"),"LARA 应答器")</f>
        <v>LARA 应答器</v>
      </c>
    </row>
    <row r="111" spans="1:11" x14ac:dyDescent="0.2">
      <c r="A111" s="4" t="s">
        <v>120</v>
      </c>
      <c r="B111" s="3" t="str">
        <f t="shared" si="0"/>
        <v>LARA Trucks</v>
      </c>
      <c r="C111" s="3" t="str">
        <f ca="1">IFERROR(__xludf.DUMMYFUNCTION("GOOGLETRANSLATE(A111,""en"",""es"")"),"Camiones LARA")</f>
        <v>Camiones LARA</v>
      </c>
      <c r="D111" s="3" t="str">
        <f ca="1">IFERROR(__xludf.DUMMYFUNCTION("GOOGLETRANSLATE(A111,""en"",""ca"")"),"LARA Trucks")</f>
        <v>LARA Trucks</v>
      </c>
      <c r="E111" s="3" t="str">
        <f ca="1">IFERROR(__xludf.DUMMYFUNCTION("GOOGLETRANSLATE(A111,""en"",""fr"")"),"Camions LARA")</f>
        <v>Camions LARA</v>
      </c>
      <c r="F111" s="3" t="str">
        <f ca="1">IFERROR(__xludf.DUMMYFUNCTION("GOOGLETRANSLATE(A111,""en"",""de"")"),"LARA Trucks")</f>
        <v>LARA Trucks</v>
      </c>
      <c r="G111" s="3" t="str">
        <f ca="1">IFERROR(__xludf.DUMMYFUNCTION("GOOGLETRANSLATE(A111,""en"",""it"")"),"Camion LARA")</f>
        <v>Camion LARA</v>
      </c>
      <c r="H111" s="3" t="str">
        <f ca="1">IFERROR(__xludf.DUMMYFUNCTION("GOOGLETRANSLATE(A111,""en"",""nl"")"),"LARA-vrachtwagens")</f>
        <v>LARA-vrachtwagens</v>
      </c>
      <c r="I111" s="3" t="str">
        <f ca="1">IFERROR(__xludf.DUMMYFUNCTION("GOOGLETRANSLATE(A111,""en"",""eu"")"),"LARA Kamioiak")</f>
        <v>LARA Kamioiak</v>
      </c>
      <c r="J111" s="3" t="str">
        <f ca="1">IFERROR(__xludf.DUMMYFUNCTION("GOOGLETRANSLATE(A111,""en"",""gl"")"),"Camións LARA")</f>
        <v>Camións LARA</v>
      </c>
      <c r="K111" s="3" t="str">
        <f ca="1">IFERROR(__xludf.DUMMYFUNCTION("GOOGLETRANSLATE(A111,""en"",""zh"")"),"拉拉卡车")</f>
        <v>拉拉卡车</v>
      </c>
    </row>
    <row r="112" spans="1:11" x14ac:dyDescent="0.2">
      <c r="A112" s="4" t="s">
        <v>121</v>
      </c>
      <c r="B112" s="3" t="str">
        <f t="shared" si="0"/>
        <v>Let LARA Talk</v>
      </c>
      <c r="C112" s="3" t="str">
        <f ca="1">IFERROR(__xludf.DUMMYFUNCTION("GOOGLETRANSLATE(A112,""en"",""es"")"),"Deja que LARA hable")</f>
        <v>Deja que LARA hable</v>
      </c>
      <c r="D112" s="3" t="str">
        <f ca="1">IFERROR(__xludf.DUMMYFUNCTION("GOOGLETRANSLATE(A112,""en"",""ca"")"),"Deixa que LARA parli")</f>
        <v>Deixa que LARA parli</v>
      </c>
      <c r="E112" s="3" t="str">
        <f ca="1">IFERROR(__xludf.DUMMYFUNCTION("GOOGLETRANSLATE(A112,""en"",""fr"")"),"Laissez LARA parler")</f>
        <v>Laissez LARA parler</v>
      </c>
      <c r="F112" s="3" t="str">
        <f ca="1">IFERROR(__xludf.DUMMYFUNCTION("GOOGLETRANSLATE(A112,""en"",""de"")"),"Lass LARA reden")</f>
        <v>Lass LARA reden</v>
      </c>
      <c r="G112" s="3" t="str">
        <f ca="1">IFERROR(__xludf.DUMMYFUNCTION("GOOGLETRANSLATE(A112,""en"",""it"")"),"Lascia parlare LARA")</f>
        <v>Lascia parlare LARA</v>
      </c>
      <c r="H112" s="3" t="str">
        <f ca="1">IFERROR(__xludf.DUMMYFUNCTION("GOOGLETRANSLATE(A112,""en"",""nl"")"),"Laat LARA praten")</f>
        <v>Laat LARA praten</v>
      </c>
      <c r="I112" s="3" t="str">
        <f ca="1">IFERROR(__xludf.DUMMYFUNCTION("GOOGLETRANSLATE(A112,""en"",""eu"")"),"Utzi LARAri Hitz egiten")</f>
        <v>Utzi LARAri Hitz egiten</v>
      </c>
      <c r="J112" s="3" t="str">
        <f ca="1">IFERROR(__xludf.DUMMYFUNCTION("GOOGLETRANSLATE(A112,""en"",""gl"")"),"Deixa que LARA fale")</f>
        <v>Deixa que LARA fale</v>
      </c>
      <c r="K112" s="3" t="str">
        <f ca="1">IFERROR(__xludf.DUMMYFUNCTION("GOOGLETRANSLATE(A112,""en"",""zh"")"),"让拉拉说话")</f>
        <v>让拉拉说话</v>
      </c>
    </row>
    <row r="113" spans="1:11" x14ac:dyDescent="0.2">
      <c r="A113" s="4" t="s">
        <v>122</v>
      </c>
      <c r="B113" s="3" t="str">
        <f t="shared" si="0"/>
        <v>Like Facebook</v>
      </c>
      <c r="C113" s="3" t="str">
        <f ca="1">IFERROR(__xludf.DUMMYFUNCTION("GOOGLETRANSLATE(A113,""en"",""es"")"),"Me gusta facebook")</f>
        <v>Me gusta facebook</v>
      </c>
      <c r="D113" s="3" t="str">
        <f ca="1">IFERROR(__xludf.DUMMYFUNCTION("GOOGLETRANSLATE(A113,""en"",""ca"")"),"Com Facebook")</f>
        <v>Com Facebook</v>
      </c>
      <c r="E113" s="3" t="str">
        <f ca="1">IFERROR(__xludf.DUMMYFUNCTION("GOOGLETRANSLATE(A113,""en"",""fr"")"),"J'aime Facebook")</f>
        <v>J'aime Facebook</v>
      </c>
      <c r="F113" s="3" t="str">
        <f ca="1">IFERROR(__xludf.DUMMYFUNCTION("GOOGLETRANSLATE(A113,""en"",""de"")"),"Wie Facebook")</f>
        <v>Wie Facebook</v>
      </c>
      <c r="G113" s="3" t="str">
        <f ca="1">IFERROR(__xludf.DUMMYFUNCTION("GOOGLETRANSLATE(A113,""en"",""it"")"),"Mi piace Facebook")</f>
        <v>Mi piace Facebook</v>
      </c>
      <c r="H113" s="3" t="str">
        <f ca="1">IFERROR(__xludf.DUMMYFUNCTION("GOOGLETRANSLATE(A113,""en"",""nl"")"),"Zoals Facebook")</f>
        <v>Zoals Facebook</v>
      </c>
      <c r="I113" s="3" t="str">
        <f ca="1">IFERROR(__xludf.DUMMYFUNCTION("GOOGLETRANSLATE(A113,""en"",""eu"")"),"Atsegin dut Facebook")</f>
        <v>Atsegin dut Facebook</v>
      </c>
      <c r="J113" s="3" t="str">
        <f ca="1">IFERROR(__xludf.DUMMYFUNCTION("GOOGLETRANSLATE(A113,""en"",""gl"")"),"Como Facebook")</f>
        <v>Como Facebook</v>
      </c>
      <c r="K113" s="3" t="str">
        <f ca="1">IFERROR(__xludf.DUMMYFUNCTION("GOOGLETRANSLATE(A113,""en"",""zh"")"),"喜欢脸书")</f>
        <v>喜欢脸书</v>
      </c>
    </row>
    <row r="114" spans="1:11" x14ac:dyDescent="0.2">
      <c r="A114" s="4" t="s">
        <v>123</v>
      </c>
      <c r="B114" s="3" t="str">
        <f t="shared" si="0"/>
        <v>Long press clears all cuts entered!</v>
      </c>
      <c r="C114" s="3" t="str">
        <f ca="1">IFERROR(__xludf.DUMMYFUNCTION("GOOGLETRANSLATE(A114,""en"",""es"")"),"¡Una pulsación larga borra todos los cortes introducidos!")</f>
        <v>¡Una pulsación larga borra todos los cortes introducidos!</v>
      </c>
      <c r="D114" s="3" t="str">
        <f ca="1">IFERROR(__xludf.DUMMYFUNCTION("GOOGLETRANSLATE(A114,""en"",""ca"")"),"Premeu llargament tots els talls introduïts!")</f>
        <v>Premeu llargament tots els talls introduïts!</v>
      </c>
      <c r="E114" s="3" t="str">
        <f ca="1">IFERROR(__xludf.DUMMYFUNCTION("GOOGLETRANSLATE(A114,""en"",""fr"")"),"Un appui long efface toutes les coupes saisies !")</f>
        <v>Un appui long efface toutes les coupes saisies !</v>
      </c>
      <c r="F114" s="3" t="str">
        <f ca="1">IFERROR(__xludf.DUMMYFUNCTION("GOOGLETRANSLATE(A114,""en"",""de"")"),"Langes Drücken löscht alle eingegebenen Schnitte!")</f>
        <v>Langes Drücken löscht alle eingegebenen Schnitte!</v>
      </c>
      <c r="G114" s="3" t="str">
        <f ca="1">IFERROR(__xludf.DUMMYFUNCTION("GOOGLETRANSLATE(A114,""en"",""it"")"),"Una pressione prolungata cancella tutti i tagli immessi!")</f>
        <v>Una pressione prolungata cancella tutti i tagli immessi!</v>
      </c>
      <c r="H114" s="3" t="str">
        <f ca="1">IFERROR(__xludf.DUMMYFUNCTION("GOOGLETRANSLATE(A114,""en"",""nl"")"),"Lang indrukken wist alle ingevoerde sneden!")</f>
        <v>Lang indrukken wist alle ingevoerde sneden!</v>
      </c>
      <c r="I114" s="3" t="str">
        <f ca="1">IFERROR(__xludf.DUMMYFUNCTION("GOOGLETRANSLATE(A114,""en"",""eu"")"),"Sakatu luzeak sartutako mozketa guztiak garbitzen ditu!")</f>
        <v>Sakatu luzeak sartutako mozketa guztiak garbitzen ditu!</v>
      </c>
      <c r="J114" s="3" t="str">
        <f ca="1">IFERROR(__xludf.DUMMYFUNCTION("GOOGLETRANSLATE(A114,""en"",""gl"")"),"A pulsación longa borra todos os cortes introducidos.")</f>
        <v>A pulsación longa borra todos os cortes introducidos.</v>
      </c>
      <c r="K114" s="3" t="str">
        <f ca="1">IFERROR(__xludf.DUMMYFUNCTION("GOOGLETRANSLATE(A114,""en"",""zh"")"),"长按清除所有输入的剪辑！")</f>
        <v>长按清除所有输入的剪辑！</v>
      </c>
    </row>
    <row r="115" spans="1:11" x14ac:dyDescent="0.2">
      <c r="A115" s="4" t="s">
        <v>124</v>
      </c>
      <c r="B115" s="3" t="str">
        <f t="shared" si="0"/>
        <v>Find Codes</v>
      </c>
      <c r="C115" s="3" t="str">
        <f ca="1">IFERROR(__xludf.DUMMYFUNCTION("GOOGLETRANSLATE(A115,""en"",""es"")"),"Buscar códigos")</f>
        <v>Buscar códigos</v>
      </c>
      <c r="D115" s="3" t="str">
        <f ca="1">IFERROR(__xludf.DUMMYFUNCTION("GOOGLETRANSLATE(A115,""en"",""ca"")"),"Cerca codis")</f>
        <v>Cerca codis</v>
      </c>
      <c r="E115" s="3" t="str">
        <f ca="1">IFERROR(__xludf.DUMMYFUNCTION("GOOGLETRANSLATE(A115,""en"",""fr"")"),"Trouver des codes")</f>
        <v>Trouver des codes</v>
      </c>
      <c r="F115" s="3" t="str">
        <f ca="1">IFERROR(__xludf.DUMMYFUNCTION("GOOGLETRANSLATE(A115,""en"",""de"")"),"Codes finden")</f>
        <v>Codes finden</v>
      </c>
      <c r="G115" s="3" t="str">
        <f ca="1">IFERROR(__xludf.DUMMYFUNCTION("GOOGLETRANSLATE(A115,""en"",""it"")"),"Trova codici")</f>
        <v>Trova codici</v>
      </c>
      <c r="H115" s="3" t="str">
        <f ca="1">IFERROR(__xludf.DUMMYFUNCTION("GOOGLETRANSLATE(A115,""en"",""nl"")"),"Vind codes")</f>
        <v>Vind codes</v>
      </c>
      <c r="I115" s="3" t="str">
        <f ca="1">IFERROR(__xludf.DUMMYFUNCTION("GOOGLETRANSLATE(A115,""en"",""eu"")"),"Bilatu kodeak")</f>
        <v>Bilatu kodeak</v>
      </c>
      <c r="J115" s="3" t="str">
        <f ca="1">IFERROR(__xludf.DUMMYFUNCTION("GOOGLETRANSLATE(A115,""en"",""gl"")"),"Buscar códigos")</f>
        <v>Buscar códigos</v>
      </c>
      <c r="K115" s="3" t="str">
        <f ca="1">IFERROR(__xludf.DUMMYFUNCTION("GOOGLETRANSLATE(A115,""en"",""zh"")"),"查找代码")</f>
        <v>查找代码</v>
      </c>
    </row>
    <row r="116" spans="1:11" x14ac:dyDescent="0.2">
      <c r="A116" s="4" t="s">
        <v>125</v>
      </c>
      <c r="B116" s="3" t="str">
        <f t="shared" si="0"/>
        <v>Lishi Automotive</v>
      </c>
      <c r="C116" s="3" t="str">
        <f ca="1">IFERROR(__xludf.DUMMYFUNCTION("GOOGLETRANSLATE(A116,""en"",""es"")"),"Lishi Automotriz")</f>
        <v>Lishi Automotriz</v>
      </c>
      <c r="D116" s="3" t="str">
        <f ca="1">IFERROR(__xludf.DUMMYFUNCTION("GOOGLETRANSLATE(A116,""en"",""ca"")"),"Lishi Automotive")</f>
        <v>Lishi Automotive</v>
      </c>
      <c r="E116" s="3" t="str">
        <f ca="1">IFERROR(__xludf.DUMMYFUNCTION("GOOGLETRANSLATE(A116,""en"",""fr"")"),"Lishi Automotive")</f>
        <v>Lishi Automotive</v>
      </c>
      <c r="F116" s="3" t="str">
        <f ca="1">IFERROR(__xludf.DUMMYFUNCTION("GOOGLETRANSLATE(A116,""en"",""de"")"),"Lishi Automotive")</f>
        <v>Lishi Automotive</v>
      </c>
      <c r="G116" s="3" t="str">
        <f ca="1">IFERROR(__xludf.DUMMYFUNCTION("GOOGLETRANSLATE(A116,""en"",""it"")"),"Lishi Automotive")</f>
        <v>Lishi Automotive</v>
      </c>
      <c r="H116" s="3" t="str">
        <f ca="1">IFERROR(__xludf.DUMMYFUNCTION("GOOGLETRANSLATE(A116,""en"",""nl"")"),"Lishi Automotive")</f>
        <v>Lishi Automotive</v>
      </c>
      <c r="I116" s="3" t="str">
        <f ca="1">IFERROR(__xludf.DUMMYFUNCTION("GOOGLETRANSLATE(A116,""en"",""eu"")"),"Lishi Automotive")</f>
        <v>Lishi Automotive</v>
      </c>
      <c r="J116" s="3" t="str">
        <f ca="1">IFERROR(__xludf.DUMMYFUNCTION("GOOGLETRANSLATE(A116,""en"",""gl"")"),"Lishi Automotive")</f>
        <v>Lishi Automotive</v>
      </c>
      <c r="K116" s="3" t="str">
        <f ca="1">IFERROR(__xludf.DUMMYFUNCTION("GOOGLETRANSLATE(A116,""en"",""zh"")"),"力士汽车")</f>
        <v>力士汽车</v>
      </c>
    </row>
    <row r="117" spans="1:11" x14ac:dyDescent="0.2">
      <c r="A117" s="4" t="s">
        <v>126</v>
      </c>
      <c r="B117" s="3" t="str">
        <f t="shared" si="0"/>
        <v>Lishi Domestic</v>
      </c>
      <c r="C117" s="3" t="str">
        <f ca="1">IFERROR(__xludf.DUMMYFUNCTION("GOOGLETRANSLATE(A117,""en"",""es"")"),"Lishi doméstico")</f>
        <v>Lishi doméstico</v>
      </c>
      <c r="D117" s="3" t="str">
        <f ca="1">IFERROR(__xludf.DUMMYFUNCTION("GOOGLETRANSLATE(A117,""en"",""ca"")"),"Lishi Domèstic")</f>
        <v>Lishi Domèstic</v>
      </c>
      <c r="E117" s="3" t="str">
        <f ca="1">IFERROR(__xludf.DUMMYFUNCTION("GOOGLETRANSLATE(A117,""en"",""fr"")"),"Lishi domestique")</f>
        <v>Lishi domestique</v>
      </c>
      <c r="F117" s="3" t="str">
        <f ca="1">IFERROR(__xludf.DUMMYFUNCTION("GOOGLETRANSLATE(A117,""en"",""de"")"),"Lishi Inland")</f>
        <v>Lishi Inland</v>
      </c>
      <c r="G117" s="3" t="str">
        <f ca="1">IFERROR(__xludf.DUMMYFUNCTION("GOOGLETRANSLATE(A117,""en"",""it"")"),"Lishi domestico")</f>
        <v>Lishi domestico</v>
      </c>
      <c r="H117" s="3" t="str">
        <f ca="1">IFERROR(__xludf.DUMMYFUNCTION("GOOGLETRANSLATE(A117,""en"",""nl"")"),"Lishi binnenlands")</f>
        <v>Lishi binnenlands</v>
      </c>
      <c r="I117" s="3" t="str">
        <f ca="1">IFERROR(__xludf.DUMMYFUNCTION("GOOGLETRANSLATE(A117,""en"",""eu"")"),"Lishi Etxekoa")</f>
        <v>Lishi Etxekoa</v>
      </c>
      <c r="J117" s="3" t="str">
        <f ca="1">IFERROR(__xludf.DUMMYFUNCTION("GOOGLETRANSLATE(A117,""en"",""gl"")"),"Lishi doméstico")</f>
        <v>Lishi doméstico</v>
      </c>
      <c r="K117" s="3" t="str">
        <f ca="1">IFERROR(__xludf.DUMMYFUNCTION("GOOGLETRANSLATE(A117,""en"",""zh"")"),"力士国内")</f>
        <v>力士国内</v>
      </c>
    </row>
    <row r="118" spans="1:11" x14ac:dyDescent="0.2">
      <c r="A118" s="4" t="s">
        <v>127</v>
      </c>
      <c r="B118" s="3" t="str">
        <f t="shared" si="0"/>
        <v>Links</v>
      </c>
      <c r="C118" s="3" t="str">
        <f ca="1">IFERROR(__xludf.DUMMYFUNCTION("GOOGLETRANSLATE(A118,""en"",""es"")"),"Campo de golf")</f>
        <v>Campo de golf</v>
      </c>
      <c r="D118" s="3" t="str">
        <f ca="1">IFERROR(__xludf.DUMMYFUNCTION("GOOGLETRANSLATE(A118,""en"",""ca"")"),"Enllaços")</f>
        <v>Enllaços</v>
      </c>
      <c r="E118" s="3" t="str">
        <f ca="1">IFERROR(__xludf.DUMMYFUNCTION("GOOGLETRANSLATE(A118,""en"",""fr"")"),"Links")</f>
        <v>Links</v>
      </c>
      <c r="F118" s="3" t="str">
        <f ca="1">IFERROR(__xludf.DUMMYFUNCTION("GOOGLETRANSLATE(A118,""en"",""de"")"),"Links")</f>
        <v>Links</v>
      </c>
      <c r="G118" s="3" t="str">
        <f ca="1">IFERROR(__xludf.DUMMYFUNCTION("GOOGLETRANSLATE(A118,""en"",""it"")"),"Collegamenti")</f>
        <v>Collegamenti</v>
      </c>
      <c r="H118" s="3" t="str">
        <f ca="1">IFERROR(__xludf.DUMMYFUNCTION("GOOGLETRANSLATE(A118,""en"",""nl"")"),"Koppelingen")</f>
        <v>Koppelingen</v>
      </c>
      <c r="I118" s="3" t="str">
        <f ca="1">IFERROR(__xludf.DUMMYFUNCTION("GOOGLETRANSLATE(A118,""en"",""eu"")"),"Estekak")</f>
        <v>Estekak</v>
      </c>
      <c r="J118" s="3" t="str">
        <f ca="1">IFERROR(__xludf.DUMMYFUNCTION("GOOGLETRANSLATE(A118,""en"",""gl"")"),"Ligazóns")</f>
        <v>Ligazóns</v>
      </c>
      <c r="K118" s="3" t="str">
        <f ca="1">IFERROR(__xludf.DUMMYFUNCTION("GOOGLETRANSLATE(A118,""en"",""zh"")"),"链接")</f>
        <v>链接</v>
      </c>
    </row>
    <row r="119" spans="1:11" x14ac:dyDescent="0.2">
      <c r="A119" s="4" t="s">
        <v>128</v>
      </c>
      <c r="B119" s="3" t="str">
        <f t="shared" si="0"/>
        <v>Live Search</v>
      </c>
      <c r="C119" s="3" t="str">
        <f ca="1">IFERROR(__xludf.DUMMYFUNCTION("GOOGLETRANSLATE(A119,""en"",""es"")"),"Búsqueda en vivo")</f>
        <v>Búsqueda en vivo</v>
      </c>
      <c r="D119" s="3" t="str">
        <f ca="1">IFERROR(__xludf.DUMMYFUNCTION("GOOGLETRANSLATE(A119,""en"",""ca"")"),"Cerca en directe")</f>
        <v>Cerca en directe</v>
      </c>
      <c r="E119" s="3" t="str">
        <f ca="1">IFERROR(__xludf.DUMMYFUNCTION("GOOGLETRANSLATE(A119,""en"",""fr"")"),"Recherche en direct")</f>
        <v>Recherche en direct</v>
      </c>
      <c r="F119" s="3" t="str">
        <f ca="1">IFERROR(__xludf.DUMMYFUNCTION("GOOGLETRANSLATE(A119,""en"",""de"")"),"Live-Suche")</f>
        <v>Live-Suche</v>
      </c>
      <c r="G119" s="3" t="str">
        <f ca="1">IFERROR(__xludf.DUMMYFUNCTION("GOOGLETRANSLATE(A119,""en"",""it"")"),"Ricerca in tempo reale")</f>
        <v>Ricerca in tempo reale</v>
      </c>
      <c r="H119" s="3" t="str">
        <f ca="1">IFERROR(__xludf.DUMMYFUNCTION("GOOGLETRANSLATE(A119,""en"",""nl"")"),"Live zoeken")</f>
        <v>Live zoeken</v>
      </c>
      <c r="I119" s="3" t="str">
        <f ca="1">IFERROR(__xludf.DUMMYFUNCTION("GOOGLETRANSLATE(A119,""en"",""eu"")"),"Zuzeneko bilaketa")</f>
        <v>Zuzeneko bilaketa</v>
      </c>
      <c r="J119" s="3" t="str">
        <f ca="1">IFERROR(__xludf.DUMMYFUNCTION("GOOGLETRANSLATE(A119,""en"",""gl"")"),"Busca en directo")</f>
        <v>Busca en directo</v>
      </c>
      <c r="K119" s="3" t="str">
        <f ca="1">IFERROR(__xludf.DUMMYFUNCTION("GOOGLETRANSLATE(A119,""en"",""zh"")"),"实时搜索")</f>
        <v>实时搜索</v>
      </c>
    </row>
    <row r="120" spans="1:11" x14ac:dyDescent="0.2">
      <c r="A120" s="4" t="s">
        <v>129</v>
      </c>
      <c r="B120" s="3" t="str">
        <f t="shared" si="0"/>
        <v>Loading</v>
      </c>
      <c r="C120" s="3" t="str">
        <f ca="1">IFERROR(__xludf.DUMMYFUNCTION("GOOGLETRANSLATE(A120,""en"",""es"")"),"Cargando")</f>
        <v>Cargando</v>
      </c>
      <c r="D120" s="3" t="str">
        <f ca="1">IFERROR(__xludf.DUMMYFUNCTION("GOOGLETRANSLATE(A120,""en"",""ca"")"),"Carregant")</f>
        <v>Carregant</v>
      </c>
      <c r="E120" s="3" t="str">
        <f ca="1">IFERROR(__xludf.DUMMYFUNCTION("GOOGLETRANSLATE(A120,""en"",""fr"")"),"Chargement")</f>
        <v>Chargement</v>
      </c>
      <c r="F120" s="3" t="str">
        <f ca="1">IFERROR(__xludf.DUMMYFUNCTION("GOOGLETRANSLATE(A120,""en"",""de"")"),"Laden")</f>
        <v>Laden</v>
      </c>
      <c r="G120" s="3" t="str">
        <f ca="1">IFERROR(__xludf.DUMMYFUNCTION("GOOGLETRANSLATE(A120,""en"",""it"")"),"Caricamento")</f>
        <v>Caricamento</v>
      </c>
      <c r="H120" s="3" t="str">
        <f ca="1">IFERROR(__xludf.DUMMYFUNCTION("GOOGLETRANSLATE(A120,""en"",""nl"")"),"Laden")</f>
        <v>Laden</v>
      </c>
      <c r="I120" s="3" t="str">
        <f ca="1">IFERROR(__xludf.DUMMYFUNCTION("GOOGLETRANSLATE(A120,""en"",""eu"")"),"Kargatzen")</f>
        <v>Kargatzen</v>
      </c>
      <c r="J120" s="3" t="str">
        <f ca="1">IFERROR(__xludf.DUMMYFUNCTION("GOOGLETRANSLATE(A120,""en"",""gl"")"),"Cargando")</f>
        <v>Cargando</v>
      </c>
      <c r="K120" s="3" t="str">
        <f ca="1">IFERROR(__xludf.DUMMYFUNCTION("GOOGLETRANSLATE(A120,""en"",""zh"")"),"加载中")</f>
        <v>加载中</v>
      </c>
    </row>
    <row r="121" spans="1:11" x14ac:dyDescent="0.2">
      <c r="A121" s="4" t="s">
        <v>130</v>
      </c>
      <c r="B121" s="3" t="str">
        <f t="shared" si="0"/>
        <v>Log In</v>
      </c>
      <c r="C121" s="3" t="str">
        <f ca="1">IFERROR(__xludf.DUMMYFUNCTION("GOOGLETRANSLATE(A121,""en"",""es"")"),"Acceso")</f>
        <v>Acceso</v>
      </c>
      <c r="D121" s="3" t="str">
        <f ca="1">IFERROR(__xludf.DUMMYFUNCTION("GOOGLETRANSLATE(A121,""en"",""ca"")"),"Inicieu sessió")</f>
        <v>Inicieu sessió</v>
      </c>
      <c r="E121" s="3" t="str">
        <f ca="1">IFERROR(__xludf.DUMMYFUNCTION("GOOGLETRANSLATE(A121,""en"",""fr"")"),"Se connecter")</f>
        <v>Se connecter</v>
      </c>
      <c r="F121" s="3" t="str">
        <f ca="1">IFERROR(__xludf.DUMMYFUNCTION("GOOGLETRANSLATE(A121,""en"",""de"")"),"Einloggen")</f>
        <v>Einloggen</v>
      </c>
      <c r="G121" s="3" t="str">
        <f ca="1">IFERROR(__xludf.DUMMYFUNCTION("GOOGLETRANSLATE(A121,""en"",""it"")"),"Login")</f>
        <v>Login</v>
      </c>
      <c r="H121" s="3" t="str">
        <f ca="1">IFERROR(__xludf.DUMMYFUNCTION("GOOGLETRANSLATE(A121,""en"",""nl"")"),"Inloggen")</f>
        <v>Inloggen</v>
      </c>
      <c r="I121" s="3" t="str">
        <f ca="1">IFERROR(__xludf.DUMMYFUNCTION("GOOGLETRANSLATE(A121,""en"",""eu"")"),"Hasi saioa")</f>
        <v>Hasi saioa</v>
      </c>
      <c r="J121" s="3" t="str">
        <f ca="1">IFERROR(__xludf.DUMMYFUNCTION("GOOGLETRANSLATE(A121,""en"",""gl"")"),"Iniciar sesión")</f>
        <v>Iniciar sesión</v>
      </c>
      <c r="K121" s="3" t="str">
        <f ca="1">IFERROR(__xludf.DUMMYFUNCTION("GOOGLETRANSLATE(A121,""en"",""zh"")"),"登录")</f>
        <v>登录</v>
      </c>
    </row>
    <row r="122" spans="1:11" x14ac:dyDescent="0.2">
      <c r="A122" s="4" t="s">
        <v>131</v>
      </c>
      <c r="B122" s="3" t="str">
        <f t="shared" si="0"/>
        <v>Logged In</v>
      </c>
      <c r="C122" s="3" t="str">
        <f ca="1">IFERROR(__xludf.DUMMYFUNCTION("GOOGLETRANSLATE(A122,""en"",""es"")"),"Iniciado sesión")</f>
        <v>Iniciado sesión</v>
      </c>
      <c r="D122" s="3" t="str">
        <f ca="1">IFERROR(__xludf.DUMMYFUNCTION("GOOGLETRANSLATE(A122,""en"",""ca"")"),"Iniciat sessió")</f>
        <v>Iniciat sessió</v>
      </c>
      <c r="E122" s="3" t="str">
        <f ca="1">IFERROR(__xludf.DUMMYFUNCTION("GOOGLETRANSLATE(A122,""en"",""fr"")"),"Connecté")</f>
        <v>Connecté</v>
      </c>
      <c r="F122" s="3" t="str">
        <f ca="1">IFERROR(__xludf.DUMMYFUNCTION("GOOGLETRANSLATE(A122,""en"",""de"")"),"Eingeloggt")</f>
        <v>Eingeloggt</v>
      </c>
      <c r="G122" s="3" t="str">
        <f ca="1">IFERROR(__xludf.DUMMYFUNCTION("GOOGLETRANSLATE(A122,""en"",""it"")"),"Effettuato l'accesso")</f>
        <v>Effettuato l'accesso</v>
      </c>
      <c r="H122" s="3" t="str">
        <f ca="1">IFERROR(__xludf.DUMMYFUNCTION("GOOGLETRANSLATE(A122,""en"",""nl"")"),"Ingelogd")</f>
        <v>Ingelogd</v>
      </c>
      <c r="I122" s="3" t="str">
        <f ca="1">IFERROR(__xludf.DUMMYFUNCTION("GOOGLETRANSLATE(A122,""en"",""eu"")"),"Hasi saioa")</f>
        <v>Hasi saioa</v>
      </c>
      <c r="J122" s="3" t="str">
        <f ca="1">IFERROR(__xludf.DUMMYFUNCTION("GOOGLETRANSLATE(A122,""en"",""gl"")"),"Iniciado sesión")</f>
        <v>Iniciado sesión</v>
      </c>
      <c r="K122" s="3" t="str">
        <f ca="1">IFERROR(__xludf.DUMMYFUNCTION("GOOGLETRANSLATE(A122,""en"",""zh"")"),"已登录")</f>
        <v>已登录</v>
      </c>
    </row>
    <row r="123" spans="1:11" x14ac:dyDescent="0.2">
      <c r="A123" s="4" t="s">
        <v>132</v>
      </c>
      <c r="B123" s="3" t="str">
        <f t="shared" si="0"/>
        <v>Login Fail</v>
      </c>
      <c r="C123" s="3" t="str">
        <f ca="1">IFERROR(__xludf.DUMMYFUNCTION("GOOGLETRANSLATE(A123,""en"",""es"")"),"Error de inicio de sesión")</f>
        <v>Error de inicio de sesión</v>
      </c>
      <c r="D123" s="3" t="str">
        <f ca="1">IFERROR(__xludf.DUMMYFUNCTION("GOOGLETRANSLATE(A123,""en"",""ca"")"),"Error d'inici de sessió")</f>
        <v>Error d'inici de sessió</v>
      </c>
      <c r="E123" s="3" t="str">
        <f ca="1">IFERROR(__xludf.DUMMYFUNCTION("GOOGLETRANSLATE(A123,""en"",""fr"")"),"Échec de connexion")</f>
        <v>Échec de connexion</v>
      </c>
      <c r="F123" s="3" t="str">
        <f ca="1">IFERROR(__xludf.DUMMYFUNCTION("GOOGLETRANSLATE(A123,""en"",""de"")"),"Anmeldung fehlgeschlagen")</f>
        <v>Anmeldung fehlgeschlagen</v>
      </c>
      <c r="G123" s="3" t="str">
        <f ca="1">IFERROR(__xludf.DUMMYFUNCTION("GOOGLETRANSLATE(A123,""en"",""it"")"),"Accesso non riuscito")</f>
        <v>Accesso non riuscito</v>
      </c>
      <c r="H123" s="3" t="str">
        <f ca="1">IFERROR(__xludf.DUMMYFUNCTION("GOOGLETRANSLATE(A123,""en"",""nl"")"),"Inloggen mislukt")</f>
        <v>Inloggen mislukt</v>
      </c>
      <c r="I123" s="3" t="str">
        <f ca="1">IFERROR(__xludf.DUMMYFUNCTION("GOOGLETRANSLATE(A123,""en"",""eu"")"),"Sarrera huts egin du")</f>
        <v>Sarrera huts egin du</v>
      </c>
      <c r="J123" s="3" t="str">
        <f ca="1">IFERROR(__xludf.DUMMYFUNCTION("GOOGLETRANSLATE(A123,""en"",""gl"")"),"Fallo de inicio de sesión")</f>
        <v>Fallo de inicio de sesión</v>
      </c>
      <c r="K123" s="3" t="str">
        <f ca="1">IFERROR(__xludf.DUMMYFUNCTION("GOOGLETRANSLATE(A123,""en"",""zh"")"),"登录失败")</f>
        <v>登录失败</v>
      </c>
    </row>
    <row r="124" spans="1:11" x14ac:dyDescent="0.2">
      <c r="A124" s="4" t="s">
        <v>133</v>
      </c>
      <c r="B124" s="3" t="str">
        <f t="shared" si="0"/>
        <v>Login Failed.</v>
      </c>
      <c r="C124" s="3" t="str">
        <f ca="1">IFERROR(__xludf.DUMMYFUNCTION("GOOGLETRANSLATE(A124,""en"",""es"")"),"Error de inicio de sesion.")</f>
        <v>Error de inicio de sesion.</v>
      </c>
      <c r="D124" s="3" t="str">
        <f ca="1">IFERROR(__xludf.DUMMYFUNCTION("GOOGLETRANSLATE(A124,""en"",""ca"")"),"Error d'inici de sessió.")</f>
        <v>Error d'inici de sessió.</v>
      </c>
      <c r="E124" s="3" t="str">
        <f ca="1">IFERROR(__xludf.DUMMYFUNCTION("GOOGLETRANSLATE(A124,""en"",""fr"")"),"La connexion a échoué.")</f>
        <v>La connexion a échoué.</v>
      </c>
      <c r="F124" s="3" t="str">
        <f ca="1">IFERROR(__xludf.DUMMYFUNCTION("GOOGLETRANSLATE(A124,""en"",""de"")"),"Fehler bei der Anmeldung.")</f>
        <v>Fehler bei der Anmeldung.</v>
      </c>
      <c r="G124" s="3" t="str">
        <f ca="1">IFERROR(__xludf.DUMMYFUNCTION("GOOGLETRANSLATE(A124,""en"",""it"")"),"Accesso non riuscito.")</f>
        <v>Accesso non riuscito.</v>
      </c>
      <c r="H124" s="3" t="str">
        <f ca="1">IFERROR(__xludf.DUMMYFUNCTION("GOOGLETRANSLATE(A124,""en"",""nl"")"),"Inloggen mislukt.")</f>
        <v>Inloggen mislukt.</v>
      </c>
      <c r="I124" s="3" t="str">
        <f ca="1">IFERROR(__xludf.DUMMYFUNCTION("GOOGLETRANSLATE(A124,""en"",""eu"")"),"Ezin izan da saioa hasi.")</f>
        <v>Ezin izan da saioa hasi.</v>
      </c>
      <c r="J124" s="3" t="str">
        <f ca="1">IFERROR(__xludf.DUMMYFUNCTION("GOOGLETRANSLATE(A124,""en"",""gl"")"),"Fallou o inicio de sesión.")</f>
        <v>Fallou o inicio de sesión.</v>
      </c>
      <c r="K124" s="3" t="str">
        <f ca="1">IFERROR(__xludf.DUMMYFUNCTION("GOOGLETRANSLATE(A124,""en"",""zh"")"),"登录失败。")</f>
        <v>登录失败。</v>
      </c>
    </row>
    <row r="125" spans="1:11" x14ac:dyDescent="0.2">
      <c r="A125" s="4" t="s">
        <v>134</v>
      </c>
      <c r="B125" s="3" t="str">
        <f t="shared" si="0"/>
        <v>Login Unsuccessful - Not Found</v>
      </c>
      <c r="C125" s="3" t="str">
        <f ca="1">IFERROR(__xludf.DUMMYFUNCTION("GOOGLETRANSLATE(A125,""en"",""es"")"),"Inicio de sesión fallido: no encontrado")</f>
        <v>Inicio de sesión fallido: no encontrado</v>
      </c>
      <c r="D125" s="3" t="str">
        <f ca="1">IFERROR(__xludf.DUMMYFUNCTION("GOOGLETRANSLATE(A125,""en"",""ca"")"),"Inici de sessió sense èxit - No s'ha trobat")</f>
        <v>Inici de sessió sense èxit - No s'ha trobat</v>
      </c>
      <c r="E125" s="3" t="str">
        <f ca="1">IFERROR(__xludf.DUMMYFUNCTION("GOOGLETRANSLATE(A125,""en"",""fr"")"),"Connexion échouée - Introuvable")</f>
        <v>Connexion échouée - Introuvable</v>
      </c>
      <c r="F125" s="3" t="str">
        <f ca="1">IFERROR(__xludf.DUMMYFUNCTION("GOOGLETRANSLATE(A125,""en"",""de"")"),"Anmeldung fehlgeschlagen – Nicht gefunden")</f>
        <v>Anmeldung fehlgeschlagen – Nicht gefunden</v>
      </c>
      <c r="G125" s="3" t="str">
        <f ca="1">IFERROR(__xludf.DUMMYFUNCTION("GOOGLETRANSLATE(A125,""en"",""it"")"),"Accesso non riuscito - Non trovato")</f>
        <v>Accesso non riuscito - Non trovato</v>
      </c>
      <c r="H125" s="3" t="str">
        <f ca="1">IFERROR(__xludf.DUMMYFUNCTION("GOOGLETRANSLATE(A125,""en"",""nl"")"),"Inloggen mislukt - niet gevonden")</f>
        <v>Inloggen mislukt - niet gevonden</v>
      </c>
      <c r="I125" s="3" t="str">
        <f ca="1">IFERROR(__xludf.DUMMYFUNCTION("GOOGLETRANSLATE(A125,""en"",""eu"")"),"Saioa ez da arrakastatsua - Ez da aurkitu")</f>
        <v>Saioa ez da arrakastatsua - Ez da aurkitu</v>
      </c>
      <c r="J125" s="3" t="str">
        <f ca="1">IFERROR(__xludf.DUMMYFUNCTION("GOOGLETRANSLATE(A125,""en"",""gl"")"),"Inicio de sesión non exitoso - Non se atopou")</f>
        <v>Inicio de sesión non exitoso - Non se atopou</v>
      </c>
      <c r="K125" s="3" t="str">
        <f ca="1">IFERROR(__xludf.DUMMYFUNCTION("GOOGLETRANSLATE(A125,""en"",""zh"")"),"登录失败 - 未找到")</f>
        <v>登录失败 - 未找到</v>
      </c>
    </row>
    <row r="126" spans="1:11" x14ac:dyDescent="0.2">
      <c r="A126" s="4" t="s">
        <v>135</v>
      </c>
      <c r="B126" s="3" t="str">
        <f t="shared" si="0"/>
        <v>Login Unsuccessful - Server Error</v>
      </c>
      <c r="C126" s="3" t="str">
        <f ca="1">IFERROR(__xludf.DUMMYFUNCTION("GOOGLETRANSLATE(A126,""en"",""es"")"),"Inicio de sesión fallido: error del servidor")</f>
        <v>Inicio de sesión fallido: error del servidor</v>
      </c>
      <c r="D126" s="3" t="str">
        <f ca="1">IFERROR(__xludf.DUMMYFUNCTION("GOOGLETRANSLATE(A126,""en"",""ca"")"),"Inici de sessió incorrecte: error del servidor")</f>
        <v>Inici de sessió incorrecte: error del servidor</v>
      </c>
      <c r="E126" s="3" t="str">
        <f ca="1">IFERROR(__xludf.DUMMYFUNCTION("GOOGLETRANSLATE(A126,""en"",""fr"")"),"Connexion échouée - Erreur de serveur")</f>
        <v>Connexion échouée - Erreur de serveur</v>
      </c>
      <c r="F126" s="3" t="str">
        <f ca="1">IFERROR(__xludf.DUMMYFUNCTION("GOOGLETRANSLATE(A126,""en"",""de"")"),"Anmeldung fehlgeschlagen – Serverfehler")</f>
        <v>Anmeldung fehlgeschlagen – Serverfehler</v>
      </c>
      <c r="G126" s="3" t="str">
        <f ca="1">IFERROR(__xludf.DUMMYFUNCTION("GOOGLETRANSLATE(A126,""en"",""it"")"),"Accesso non riuscito: errore del server")</f>
        <v>Accesso non riuscito: errore del server</v>
      </c>
      <c r="H126" s="3" t="str">
        <f ca="1">IFERROR(__xludf.DUMMYFUNCTION("GOOGLETRANSLATE(A126,""en"",""nl"")"),"Inloggen mislukt - Serverfout")</f>
        <v>Inloggen mislukt - Serverfout</v>
      </c>
      <c r="I126" s="3" t="str">
        <f ca="1">IFERROR(__xludf.DUMMYFUNCTION("GOOGLETRANSLATE(A126,""en"",""eu"")"),"Saioa ez da arrakastatsua - Zerbitzariaren errorea")</f>
        <v>Saioa ez da arrakastatsua - Zerbitzariaren errorea</v>
      </c>
      <c r="J126" s="3" t="str">
        <f ca="1">IFERROR(__xludf.DUMMYFUNCTION("GOOGLETRANSLATE(A126,""en"",""gl"")"),"Inicio de sesión non exitoso - Erro do servidor")</f>
        <v>Inicio de sesión non exitoso - Erro do servidor</v>
      </c>
      <c r="K126" s="3" t="str">
        <f ca="1">IFERROR(__xludf.DUMMYFUNCTION("GOOGLETRANSLATE(A126,""en"",""zh"")"),"登录失败 - 服务器错误")</f>
        <v>登录失败 - 服务器错误</v>
      </c>
    </row>
    <row r="127" spans="1:11" x14ac:dyDescent="0.2">
      <c r="A127" s="4" t="s">
        <v>136</v>
      </c>
      <c r="B127" s="3" t="str">
        <f t="shared" si="0"/>
        <v>Login Successful - Welcome</v>
      </c>
      <c r="C127" s="3" t="str">
        <f ca="1">IFERROR(__xludf.DUMMYFUNCTION("GOOGLETRANSLATE(A127,""en"",""es"")"),"Inicio de sesión exitoso - Bienvenido")</f>
        <v>Inicio de sesión exitoso - Bienvenido</v>
      </c>
      <c r="D127" s="3" t="str">
        <f ca="1">IFERROR(__xludf.DUMMYFUNCTION("GOOGLETRANSLATE(A127,""en"",""ca"")"),"Inici de sessió correcte - Benvingut")</f>
        <v>Inici de sessió correcte - Benvingut</v>
      </c>
      <c r="E127" s="3" t="str">
        <f ca="1">IFERROR(__xludf.DUMMYFUNCTION("GOOGLETRANSLATE(A127,""en"",""fr"")"),"Connexion réussie - Bienvenue")</f>
        <v>Connexion réussie - Bienvenue</v>
      </c>
      <c r="F127" s="3" t="str">
        <f ca="1">IFERROR(__xludf.DUMMYFUNCTION("GOOGLETRANSLATE(A127,""en"",""de"")"),"Anmeldung erfolgreich – Willkommen")</f>
        <v>Anmeldung erfolgreich – Willkommen</v>
      </c>
      <c r="G127" s="3" t="str">
        <f ca="1">IFERROR(__xludf.DUMMYFUNCTION("GOOGLETRANSLATE(A127,""en"",""it"")"),"Accesso riuscito: benvenuto")</f>
        <v>Accesso riuscito: benvenuto</v>
      </c>
      <c r="H127" s="3" t="str">
        <f ca="1">IFERROR(__xludf.DUMMYFUNCTION("GOOGLETRANSLATE(A127,""en"",""nl"")"),"Inloggen succesvol - Welkom")</f>
        <v>Inloggen succesvol - Welkom</v>
      </c>
      <c r="I127" s="3" t="str">
        <f ca="1">IFERROR(__xludf.DUMMYFUNCTION("GOOGLETRANSLATE(A127,""en"",""eu"")"),"Saioa arrakastatsua - Ongi etorri")</f>
        <v>Saioa arrakastatsua - Ongi etorri</v>
      </c>
      <c r="J127" s="3" t="str">
        <f ca="1">IFERROR(__xludf.DUMMYFUNCTION("GOOGLETRANSLATE(A127,""en"",""gl"")"),"Inicio de sesión exitoso - Benvido")</f>
        <v>Inicio de sesión exitoso - Benvido</v>
      </c>
      <c r="K127" s="3" t="str">
        <f ca="1">IFERROR(__xludf.DUMMYFUNCTION("GOOGLETRANSLATE(A127,""en"",""zh"")"),"登录成功 - 欢迎")</f>
        <v>登录成功 - 欢迎</v>
      </c>
    </row>
    <row r="128" spans="1:11" x14ac:dyDescent="0.2">
      <c r="A128" s="4" t="s">
        <v>137</v>
      </c>
      <c r="B128" s="3" t="str">
        <f t="shared" si="0"/>
        <v>Login Success</v>
      </c>
      <c r="C128" s="3" t="str">
        <f ca="1">IFERROR(__xludf.DUMMYFUNCTION("GOOGLETRANSLATE(A128,""en"",""es"")"),"Iniciar sesión exitosamente")</f>
        <v>Iniciar sesión exitosamente</v>
      </c>
      <c r="D128" s="3" t="str">
        <f ca="1">IFERROR(__xludf.DUMMYFUNCTION("GOOGLETRANSLATE(A128,""en"",""ca"")"),"Èxit d'inici de sessió")</f>
        <v>Èxit d'inici de sessió</v>
      </c>
      <c r="E128" s="3" t="str">
        <f ca="1">IFERROR(__xludf.DUMMYFUNCTION("GOOGLETRANSLATE(A128,""en"",""fr"")"),"Connexion réussie")</f>
        <v>Connexion réussie</v>
      </c>
      <c r="F128" s="3" t="str">
        <f ca="1">IFERROR(__xludf.DUMMYFUNCTION("GOOGLETRANSLATE(A128,""en"",""de"")"),"Anmeldung erfolgreich")</f>
        <v>Anmeldung erfolgreich</v>
      </c>
      <c r="G128" s="3" t="str">
        <f ca="1">IFERROR(__xludf.DUMMYFUNCTION("GOOGLETRANSLATE(A128,""en"",""it"")"),"Accesso riuscito")</f>
        <v>Accesso riuscito</v>
      </c>
      <c r="H128" s="3" t="str">
        <f ca="1">IFERROR(__xludf.DUMMYFUNCTION("GOOGLETRANSLATE(A128,""en"",""nl"")"),"Inloggen succesvol")</f>
        <v>Inloggen succesvol</v>
      </c>
      <c r="I128" s="3" t="str">
        <f ca="1">IFERROR(__xludf.DUMMYFUNCTION("GOOGLETRANSLATE(A128,""en"",""eu"")"),"Saioa arrakastatsua")</f>
        <v>Saioa arrakastatsua</v>
      </c>
      <c r="J128" s="3" t="str">
        <f ca="1">IFERROR(__xludf.DUMMYFUNCTION("GOOGLETRANSLATE(A128,""en"",""gl"")"),"Éxito de inicio de sesión")</f>
        <v>Éxito de inicio de sesión</v>
      </c>
      <c r="K128" s="3" t="str">
        <f ca="1">IFERROR(__xludf.DUMMYFUNCTION("GOOGLETRANSLATE(A128,""en"",""zh"")"),"登录成功")</f>
        <v>登录成功</v>
      </c>
    </row>
    <row r="129" spans="1:11" x14ac:dyDescent="0.2">
      <c r="A129" s="4" t="s">
        <v>138</v>
      </c>
      <c r="B129" s="3" t="str">
        <f t="shared" si="0"/>
        <v>Manufacturer</v>
      </c>
      <c r="C129" s="3" t="str">
        <f ca="1">IFERROR(__xludf.DUMMYFUNCTION("GOOGLETRANSLATE(A129,""en"",""es"")"),"Fabricante")</f>
        <v>Fabricante</v>
      </c>
      <c r="D129" s="3" t="str">
        <f ca="1">IFERROR(__xludf.DUMMYFUNCTION("GOOGLETRANSLATE(A129,""en"",""ca"")"),"Fabricant")</f>
        <v>Fabricant</v>
      </c>
      <c r="E129" s="3" t="str">
        <f ca="1">IFERROR(__xludf.DUMMYFUNCTION("GOOGLETRANSLATE(A129,""en"",""fr"")"),"Fabricant")</f>
        <v>Fabricant</v>
      </c>
      <c r="F129" s="3" t="str">
        <f ca="1">IFERROR(__xludf.DUMMYFUNCTION("GOOGLETRANSLATE(A129,""en"",""de"")"),"Hersteller")</f>
        <v>Hersteller</v>
      </c>
      <c r="G129" s="3" t="str">
        <f ca="1">IFERROR(__xludf.DUMMYFUNCTION("GOOGLETRANSLATE(A129,""en"",""it"")"),"Produttore")</f>
        <v>Produttore</v>
      </c>
      <c r="H129" s="3" t="str">
        <f ca="1">IFERROR(__xludf.DUMMYFUNCTION("GOOGLETRANSLATE(A129,""en"",""nl"")"),"Fabrikant")</f>
        <v>Fabrikant</v>
      </c>
      <c r="I129" s="3" t="str">
        <f ca="1">IFERROR(__xludf.DUMMYFUNCTION("GOOGLETRANSLATE(A129,""en"",""eu"")"),"Fabrikatzailea")</f>
        <v>Fabrikatzailea</v>
      </c>
      <c r="J129" s="3" t="str">
        <f ca="1">IFERROR(__xludf.DUMMYFUNCTION("GOOGLETRANSLATE(A129,""en"",""gl"")"),"Fabricante")</f>
        <v>Fabricante</v>
      </c>
      <c r="K129" s="3" t="str">
        <f ca="1">IFERROR(__xludf.DUMMYFUNCTION("GOOGLETRANSLATE(A129,""en"",""zh"")"),"制造商")</f>
        <v>制造商</v>
      </c>
    </row>
    <row r="130" spans="1:11" x14ac:dyDescent="0.2">
      <c r="A130" s="4" t="s">
        <v>139</v>
      </c>
      <c r="B130" s="3" t="str">
        <f t="shared" si="0"/>
        <v>Measurement</v>
      </c>
      <c r="C130" s="3" t="str">
        <f ca="1">IFERROR(__xludf.DUMMYFUNCTION("GOOGLETRANSLATE(A130,""en"",""es"")"),"Medición")</f>
        <v>Medición</v>
      </c>
      <c r="D130" s="3" t="str">
        <f ca="1">IFERROR(__xludf.DUMMYFUNCTION("GOOGLETRANSLATE(A130,""en"",""ca"")"),"Mesurament")</f>
        <v>Mesurament</v>
      </c>
      <c r="E130" s="3" t="str">
        <f ca="1">IFERROR(__xludf.DUMMYFUNCTION("GOOGLETRANSLATE(A130,""en"",""fr"")"),"Mesures")</f>
        <v>Mesures</v>
      </c>
      <c r="F130" s="3" t="str">
        <f ca="1">IFERROR(__xludf.DUMMYFUNCTION("GOOGLETRANSLATE(A130,""en"",""de"")"),"Messung")</f>
        <v>Messung</v>
      </c>
      <c r="G130" s="3" t="str">
        <f ca="1">IFERROR(__xludf.DUMMYFUNCTION("GOOGLETRANSLATE(A130,""en"",""it"")"),"Misurazione")</f>
        <v>Misurazione</v>
      </c>
      <c r="H130" s="3" t="str">
        <f ca="1">IFERROR(__xludf.DUMMYFUNCTION("GOOGLETRANSLATE(A130,""en"",""nl"")"),"Meting")</f>
        <v>Meting</v>
      </c>
      <c r="I130" s="3" t="str">
        <f ca="1">IFERROR(__xludf.DUMMYFUNCTION("GOOGLETRANSLATE(A130,""en"",""eu"")"),"Neurketa")</f>
        <v>Neurketa</v>
      </c>
      <c r="J130" s="3" t="str">
        <f ca="1">IFERROR(__xludf.DUMMYFUNCTION("GOOGLETRANSLATE(A130,""en"",""gl"")"),"Medición")</f>
        <v>Medición</v>
      </c>
      <c r="K130" s="3" t="str">
        <f ca="1">IFERROR(__xludf.DUMMYFUNCTION("GOOGLETRANSLATE(A130,""en"",""zh"")"),"测量")</f>
        <v>测量</v>
      </c>
    </row>
    <row r="131" spans="1:11" x14ac:dyDescent="0.2">
      <c r="A131" s="4" t="s">
        <v>140</v>
      </c>
      <c r="B131" s="3" t="str">
        <f t="shared" si="0"/>
        <v>Message</v>
      </c>
      <c r="C131" s="3" t="str">
        <f ca="1">IFERROR(__xludf.DUMMYFUNCTION("GOOGLETRANSLATE(A131,""en"",""es"")"),"Mensaje")</f>
        <v>Mensaje</v>
      </c>
      <c r="D131" s="3" t="str">
        <f ca="1">IFERROR(__xludf.DUMMYFUNCTION("GOOGLETRANSLATE(A131,""en"",""ca"")"),"Missatge")</f>
        <v>Missatge</v>
      </c>
      <c r="E131" s="3" t="str">
        <f ca="1">IFERROR(__xludf.DUMMYFUNCTION("GOOGLETRANSLATE(A131,""en"",""fr"")"),"Message")</f>
        <v>Message</v>
      </c>
      <c r="F131" s="3" t="str">
        <f ca="1">IFERROR(__xludf.DUMMYFUNCTION("GOOGLETRANSLATE(A131,""en"",""de"")"),"Nachricht")</f>
        <v>Nachricht</v>
      </c>
      <c r="G131" s="3" t="str">
        <f ca="1">IFERROR(__xludf.DUMMYFUNCTION("GOOGLETRANSLATE(A131,""en"",""it"")"),"Messaggio")</f>
        <v>Messaggio</v>
      </c>
      <c r="H131" s="3" t="str">
        <f ca="1">IFERROR(__xludf.DUMMYFUNCTION("GOOGLETRANSLATE(A131,""en"",""nl"")"),"Bericht")</f>
        <v>Bericht</v>
      </c>
      <c r="I131" s="3" t="str">
        <f ca="1">IFERROR(__xludf.DUMMYFUNCTION("GOOGLETRANSLATE(A131,""en"",""eu"")"),"Mezua")</f>
        <v>Mezua</v>
      </c>
      <c r="J131" s="3" t="str">
        <f ca="1">IFERROR(__xludf.DUMMYFUNCTION("GOOGLETRANSLATE(A131,""en"",""gl"")"),"Mensaxe")</f>
        <v>Mensaxe</v>
      </c>
      <c r="K131" s="3" t="str">
        <f ca="1">IFERROR(__xludf.DUMMYFUNCTION("GOOGLETRANSLATE(A131,""en"",""zh"")"),"信息")</f>
        <v>信息</v>
      </c>
    </row>
    <row r="132" spans="1:11" x14ac:dyDescent="0.2">
      <c r="A132" s="4" t="s">
        <v>141</v>
      </c>
      <c r="B132" s="3" t="str">
        <f t="shared" si="0"/>
        <v>Messages</v>
      </c>
      <c r="C132" s="3" t="str">
        <f ca="1">IFERROR(__xludf.DUMMYFUNCTION("GOOGLETRANSLATE(A132,""en"",""es"")"),"Mensajes")</f>
        <v>Mensajes</v>
      </c>
      <c r="D132" s="3" t="str">
        <f ca="1">IFERROR(__xludf.DUMMYFUNCTION("GOOGLETRANSLATE(A132,""en"",""ca"")"),"Missatges")</f>
        <v>Missatges</v>
      </c>
      <c r="E132" s="3" t="str">
        <f ca="1">IFERROR(__xludf.DUMMYFUNCTION("GOOGLETRANSLATE(A132,""en"",""fr"")"),"Messages")</f>
        <v>Messages</v>
      </c>
      <c r="F132" s="3" t="str">
        <f ca="1">IFERROR(__xludf.DUMMYFUNCTION("GOOGLETRANSLATE(A132,""en"",""de"")"),"Nachrichten")</f>
        <v>Nachrichten</v>
      </c>
      <c r="G132" s="3" t="str">
        <f ca="1">IFERROR(__xludf.DUMMYFUNCTION("GOOGLETRANSLATE(A132,""en"",""it"")"),"Messaggi")</f>
        <v>Messaggi</v>
      </c>
      <c r="H132" s="3" t="str">
        <f ca="1">IFERROR(__xludf.DUMMYFUNCTION("GOOGLETRANSLATE(A132,""en"",""nl"")"),"Berichten")</f>
        <v>Berichten</v>
      </c>
      <c r="I132" s="3" t="str">
        <f ca="1">IFERROR(__xludf.DUMMYFUNCTION("GOOGLETRANSLATE(A132,""en"",""eu"")"),"Mezuak")</f>
        <v>Mezuak</v>
      </c>
      <c r="J132" s="3" t="str">
        <f ca="1">IFERROR(__xludf.DUMMYFUNCTION("GOOGLETRANSLATE(A132,""en"",""gl"")"),"Mensaxes")</f>
        <v>Mensaxes</v>
      </c>
      <c r="K132" s="3" t="str">
        <f ca="1">IFERROR(__xludf.DUMMYFUNCTION("GOOGLETRANSLATE(A132,""en"",""zh"")"),"留言")</f>
        <v>留言</v>
      </c>
    </row>
    <row r="133" spans="1:11" x14ac:dyDescent="0.2">
      <c r="A133" s="4" t="s">
        <v>142</v>
      </c>
      <c r="B133" s="3" t="str">
        <f t="shared" si="0"/>
        <v>Model</v>
      </c>
      <c r="C133" s="3" t="str">
        <f ca="1">IFERROR(__xludf.DUMMYFUNCTION("GOOGLETRANSLATE(A133,""en"",""es"")"),"Modelo")</f>
        <v>Modelo</v>
      </c>
      <c r="D133" s="3" t="str">
        <f ca="1">IFERROR(__xludf.DUMMYFUNCTION("GOOGLETRANSLATE(A133,""en"",""ca"")"),"Model")</f>
        <v>Model</v>
      </c>
      <c r="E133" s="3" t="str">
        <f ca="1">IFERROR(__xludf.DUMMYFUNCTION("GOOGLETRANSLATE(A133,""en"",""fr"")"),"Modèle")</f>
        <v>Modèle</v>
      </c>
      <c r="F133" s="3" t="str">
        <f ca="1">IFERROR(__xludf.DUMMYFUNCTION("GOOGLETRANSLATE(A133,""en"",""de"")"),"Modell")</f>
        <v>Modell</v>
      </c>
      <c r="G133" s="3" t="str">
        <f ca="1">IFERROR(__xludf.DUMMYFUNCTION("GOOGLETRANSLATE(A133,""en"",""it"")"),"Modello")</f>
        <v>Modello</v>
      </c>
      <c r="H133" s="3" t="str">
        <f ca="1">IFERROR(__xludf.DUMMYFUNCTION("GOOGLETRANSLATE(A133,""en"",""nl"")"),"Model")</f>
        <v>Model</v>
      </c>
      <c r="I133" s="3" t="str">
        <f ca="1">IFERROR(__xludf.DUMMYFUNCTION("GOOGLETRANSLATE(A133,""en"",""eu"")"),"Eredua")</f>
        <v>Eredua</v>
      </c>
      <c r="J133" s="3" t="str">
        <f ca="1">IFERROR(__xludf.DUMMYFUNCTION("GOOGLETRANSLATE(A133,""en"",""gl"")"),"Modelo")</f>
        <v>Modelo</v>
      </c>
      <c r="K133" s="3" t="str">
        <f ca="1">IFERROR(__xludf.DUMMYFUNCTION("GOOGLETRANSLATE(A133,""en"",""zh"")"),"模型")</f>
        <v>模型</v>
      </c>
    </row>
    <row r="134" spans="1:11" x14ac:dyDescent="0.2">
      <c r="A134" s="4" t="s">
        <v>143</v>
      </c>
      <c r="B134" s="3" t="str">
        <f t="shared" si="0"/>
        <v>New database</v>
      </c>
      <c r="C134" s="3" t="str">
        <f ca="1">IFERROR(__xludf.DUMMYFUNCTION("GOOGLETRANSLATE(A134,""en"",""es"")"),"Nueva base de datos")</f>
        <v>Nueva base de datos</v>
      </c>
      <c r="D134" s="3" t="str">
        <f ca="1">IFERROR(__xludf.DUMMYFUNCTION("GOOGLETRANSLATE(A134,""en"",""ca"")"),"Nova base de dades")</f>
        <v>Nova base de dades</v>
      </c>
      <c r="E134" s="3" t="str">
        <f ca="1">IFERROR(__xludf.DUMMYFUNCTION("GOOGLETRANSLATE(A134,""en"",""fr"")"),"Nouvelle base de données")</f>
        <v>Nouvelle base de données</v>
      </c>
      <c r="F134" s="3" t="str">
        <f ca="1">IFERROR(__xludf.DUMMYFUNCTION("GOOGLETRANSLATE(A134,""en"",""de"")"),"Neue Datenbank")</f>
        <v>Neue Datenbank</v>
      </c>
      <c r="G134" s="3" t="str">
        <f ca="1">IFERROR(__xludf.DUMMYFUNCTION("GOOGLETRANSLATE(A134,""en"",""it"")"),"Nuova banca dati")</f>
        <v>Nuova banca dati</v>
      </c>
      <c r="H134" s="3" t="str">
        <f ca="1">IFERROR(__xludf.DUMMYFUNCTION("GOOGLETRANSLATE(A134,""en"",""nl"")"),"Nieuwe databank")</f>
        <v>Nieuwe databank</v>
      </c>
      <c r="I134" s="3" t="str">
        <f ca="1">IFERROR(__xludf.DUMMYFUNCTION("GOOGLETRANSLATE(A134,""en"",""eu"")"),"Datu-base berria")</f>
        <v>Datu-base berria</v>
      </c>
      <c r="J134" s="3" t="str">
        <f ca="1">IFERROR(__xludf.DUMMYFUNCTION("GOOGLETRANSLATE(A134,""en"",""gl"")"),"Nova base de datos")</f>
        <v>Nova base de datos</v>
      </c>
      <c r="K134" s="3" t="str">
        <f ca="1">IFERROR(__xludf.DUMMYFUNCTION("GOOGLETRANSLATE(A134,""en"",""zh"")"),"新数据库")</f>
        <v>新数据库</v>
      </c>
    </row>
    <row r="135" spans="1:11" x14ac:dyDescent="0.2">
      <c r="A135" s="4" t="s">
        <v>144</v>
      </c>
      <c r="B135" s="3" t="str">
        <f t="shared" si="0"/>
        <v>New database available</v>
      </c>
      <c r="C135" s="3" t="str">
        <f ca="1">IFERROR(__xludf.DUMMYFUNCTION("GOOGLETRANSLATE(A135,""en"",""es"")"),"Nueva base de datos disponible")</f>
        <v>Nueva base de datos disponible</v>
      </c>
      <c r="D135" s="3" t="str">
        <f ca="1">IFERROR(__xludf.DUMMYFUNCTION("GOOGLETRANSLATE(A135,""en"",""ca"")"),"Nova base de dades disponible")</f>
        <v>Nova base de dades disponible</v>
      </c>
      <c r="E135" s="3" t="str">
        <f ca="1">IFERROR(__xludf.DUMMYFUNCTION("GOOGLETRANSLATE(A135,""en"",""fr"")"),"Nouvelle base de données disponible")</f>
        <v>Nouvelle base de données disponible</v>
      </c>
      <c r="F135" s="3" t="str">
        <f ca="1">IFERROR(__xludf.DUMMYFUNCTION("GOOGLETRANSLATE(A135,""en"",""de"")"),"Neue Datenbank verfügbar")</f>
        <v>Neue Datenbank verfügbar</v>
      </c>
      <c r="G135" s="3" t="str">
        <f ca="1">IFERROR(__xludf.DUMMYFUNCTION("GOOGLETRANSLATE(A135,""en"",""it"")"),"Nuovo database disponibile")</f>
        <v>Nuovo database disponibile</v>
      </c>
      <c r="H135" s="3" t="str">
        <f ca="1">IFERROR(__xludf.DUMMYFUNCTION("GOOGLETRANSLATE(A135,""en"",""nl"")"),"Nieuwe databank beschikbaar")</f>
        <v>Nieuwe databank beschikbaar</v>
      </c>
      <c r="I135" s="3" t="str">
        <f ca="1">IFERROR(__xludf.DUMMYFUNCTION("GOOGLETRANSLATE(A135,""en"",""eu"")"),"Datu-base berria eskuragarri")</f>
        <v>Datu-base berria eskuragarri</v>
      </c>
      <c r="J135" s="3" t="str">
        <f ca="1">IFERROR(__xludf.DUMMYFUNCTION("GOOGLETRANSLATE(A135,""en"",""gl"")"),"Nova base de datos dispoñible")</f>
        <v>Nova base de datos dispoñible</v>
      </c>
      <c r="K135" s="3" t="str">
        <f ca="1">IFERROR(__xludf.DUMMYFUNCTION("GOOGLETRANSLATE(A135,""en"",""zh"")"),"新数据库可用")</f>
        <v>新数据库可用</v>
      </c>
    </row>
    <row r="136" spans="1:11" x14ac:dyDescent="0.2">
      <c r="A136" s="4" t="s">
        <v>145</v>
      </c>
      <c r="B136" s="3" t="str">
        <f t="shared" si="0"/>
        <v>Newest Vehicles</v>
      </c>
      <c r="C136" s="3" t="str">
        <f ca="1">IFERROR(__xludf.DUMMYFUNCTION("GOOGLETRANSLATE(A136,""en"",""es"")"),"Vehículos más nuevos")</f>
        <v>Vehículos más nuevos</v>
      </c>
      <c r="D136" s="3" t="str">
        <f ca="1">IFERROR(__xludf.DUMMYFUNCTION("GOOGLETRANSLATE(A136,""en"",""ca"")"),"Vehicles més nous")</f>
        <v>Vehicles més nous</v>
      </c>
      <c r="E136" s="3" t="str">
        <f ca="1">IFERROR(__xludf.DUMMYFUNCTION("GOOGLETRANSLATE(A136,""en"",""fr"")"),"Véhicules les plus récents")</f>
        <v>Véhicules les plus récents</v>
      </c>
      <c r="F136" s="3" t="str">
        <f ca="1">IFERROR(__xludf.DUMMYFUNCTION("GOOGLETRANSLATE(A136,""en"",""de"")"),"Neueste Fahrzeuge")</f>
        <v>Neueste Fahrzeuge</v>
      </c>
      <c r="G136" s="3" t="str">
        <f ca="1">IFERROR(__xludf.DUMMYFUNCTION("GOOGLETRANSLATE(A136,""en"",""it"")"),"Veicoli più recenti")</f>
        <v>Veicoli più recenti</v>
      </c>
      <c r="H136" s="3" t="str">
        <f ca="1">IFERROR(__xludf.DUMMYFUNCTION("GOOGLETRANSLATE(A136,""en"",""nl"")"),"Nieuwste voertuigen")</f>
        <v>Nieuwste voertuigen</v>
      </c>
      <c r="I136" s="3" t="str">
        <f ca="1">IFERROR(__xludf.DUMMYFUNCTION("GOOGLETRANSLATE(A136,""en"",""eu"")"),"Ibilgailu berrienak")</f>
        <v>Ibilgailu berrienak</v>
      </c>
      <c r="J136" s="3" t="str">
        <f ca="1">IFERROR(__xludf.DUMMYFUNCTION("GOOGLETRANSLATE(A136,""en"",""gl"")"),"Vehículos máis novos")</f>
        <v>Vehículos máis novos</v>
      </c>
      <c r="K136" s="3" t="str">
        <f ca="1">IFERROR(__xludf.DUMMYFUNCTION("GOOGLETRANSLATE(A136,""en"",""zh"")"),"最新车辆")</f>
        <v>最新车辆</v>
      </c>
    </row>
    <row r="137" spans="1:11" x14ac:dyDescent="0.2">
      <c r="A137" s="4" t="s">
        <v>146</v>
      </c>
      <c r="B137" s="3" t="str">
        <f t="shared" si="0"/>
        <v>No</v>
      </c>
      <c r="C137" s="3" t="str">
        <f ca="1">IFERROR(__xludf.DUMMYFUNCTION("GOOGLETRANSLATE(A137,""en"",""es"")"),"No")</f>
        <v>No</v>
      </c>
      <c r="D137" s="3" t="str">
        <f ca="1">IFERROR(__xludf.DUMMYFUNCTION("GOOGLETRANSLATE(A137,""en"",""ca"")"),"No")</f>
        <v>No</v>
      </c>
      <c r="E137" s="3" t="str">
        <f ca="1">IFERROR(__xludf.DUMMYFUNCTION("GOOGLETRANSLATE(A137,""en"",""fr"")"),"Non")</f>
        <v>Non</v>
      </c>
      <c r="F137" s="3" t="str">
        <f ca="1">IFERROR(__xludf.DUMMYFUNCTION("GOOGLETRANSLATE(A137,""en"",""de"")"),"NEIN")</f>
        <v>NEIN</v>
      </c>
      <c r="G137" s="3" t="str">
        <f ca="1">IFERROR(__xludf.DUMMYFUNCTION("GOOGLETRANSLATE(A137,""en"",""it"")"),"NO")</f>
        <v>NO</v>
      </c>
      <c r="H137" s="3" t="str">
        <f ca="1">IFERROR(__xludf.DUMMYFUNCTION("GOOGLETRANSLATE(A137,""en"",""nl"")"),"Nee")</f>
        <v>Nee</v>
      </c>
      <c r="I137" s="3" t="str">
        <f ca="1">IFERROR(__xludf.DUMMYFUNCTION("GOOGLETRANSLATE(A137,""en"",""eu"")"),"Ez")</f>
        <v>Ez</v>
      </c>
      <c r="J137" s="3" t="str">
        <f ca="1">IFERROR(__xludf.DUMMYFUNCTION("GOOGLETRANSLATE(A137,""en"",""gl"")"),"Non")</f>
        <v>Non</v>
      </c>
      <c r="K137" s="3" t="str">
        <f ca="1">IFERROR(__xludf.DUMMYFUNCTION("GOOGLETRANSLATE(A137,""en"",""zh"")"),"不")</f>
        <v>不</v>
      </c>
    </row>
    <row r="138" spans="1:11" x14ac:dyDescent="0.2">
      <c r="A138" s="4" t="s">
        <v>147</v>
      </c>
      <c r="B138" s="3" t="str">
        <f t="shared" si="0"/>
        <v>No such code</v>
      </c>
      <c r="C138" s="3" t="str">
        <f ca="1">IFERROR(__xludf.DUMMYFUNCTION("GOOGLETRANSLATE(A138,""en"",""es"")"),"No existe tal código")</f>
        <v>No existe tal código</v>
      </c>
      <c r="D138" s="3" t="str">
        <f ca="1">IFERROR(__xludf.DUMMYFUNCTION("GOOGLETRANSLATE(A138,""en"",""ca"")"),"No hi ha aquest codi")</f>
        <v>No hi ha aquest codi</v>
      </c>
      <c r="E138" s="3" t="str">
        <f ca="1">IFERROR(__xludf.DUMMYFUNCTION("GOOGLETRANSLATE(A138,""en"",""fr"")"),"Aucun code de ce type")</f>
        <v>Aucun code de ce type</v>
      </c>
      <c r="F138" s="3" t="str">
        <f ca="1">IFERROR(__xludf.DUMMYFUNCTION("GOOGLETRANSLATE(A138,""en"",""de"")"),"Kein solcher Code")</f>
        <v>Kein solcher Code</v>
      </c>
      <c r="G138" s="3" t="str">
        <f ca="1">IFERROR(__xludf.DUMMYFUNCTION("GOOGLETRANSLATE(A138,""en"",""it"")"),"Nessun codice del genere")</f>
        <v>Nessun codice del genere</v>
      </c>
      <c r="H138" s="3" t="str">
        <f ca="1">IFERROR(__xludf.DUMMYFUNCTION("GOOGLETRANSLATE(A138,""en"",""nl"")"),"Een dergelijke code bestaat niet")</f>
        <v>Een dergelijke code bestaat niet</v>
      </c>
      <c r="I138" s="3" t="str">
        <f ca="1">IFERROR(__xludf.DUMMYFUNCTION("GOOGLETRANSLATE(A138,""en"",""eu"")"),"Ez dago horrelako koderik")</f>
        <v>Ez dago horrelako koderik</v>
      </c>
      <c r="J138" s="3" t="str">
        <f ca="1">IFERROR(__xludf.DUMMYFUNCTION("GOOGLETRANSLATE(A138,""en"",""gl"")"),"Non hai tal código")</f>
        <v>Non hai tal código</v>
      </c>
      <c r="K138" s="3" t="str">
        <f ca="1">IFERROR(__xludf.DUMMYFUNCTION("GOOGLETRANSLATE(A138,""en"",""zh"")"),"没有这样的代码")</f>
        <v>没有这样的代码</v>
      </c>
    </row>
    <row r="139" spans="1:11" x14ac:dyDescent="0.2">
      <c r="A139" s="4" t="s">
        <v>148</v>
      </c>
      <c r="B139" s="3" t="str">
        <f t="shared" si="0"/>
        <v>None</v>
      </c>
      <c r="C139" s="3" t="str">
        <f ca="1">IFERROR(__xludf.DUMMYFUNCTION("GOOGLETRANSLATE(A139,""en"",""es"")"),"Ninguno")</f>
        <v>Ninguno</v>
      </c>
      <c r="D139" s="3" t="str">
        <f ca="1">IFERROR(__xludf.DUMMYFUNCTION("GOOGLETRANSLATE(A139,""en"",""ca"")"),"Cap")</f>
        <v>Cap</v>
      </c>
      <c r="E139" s="3" t="str">
        <f ca="1">IFERROR(__xludf.DUMMYFUNCTION("GOOGLETRANSLATE(A139,""en"",""fr"")"),"Aucun")</f>
        <v>Aucun</v>
      </c>
      <c r="F139" s="3" t="str">
        <f ca="1">IFERROR(__xludf.DUMMYFUNCTION("GOOGLETRANSLATE(A139,""en"",""de"")"),"Keiner")</f>
        <v>Keiner</v>
      </c>
      <c r="G139" s="3" t="str">
        <f ca="1">IFERROR(__xludf.DUMMYFUNCTION("GOOGLETRANSLATE(A139,""en"",""it"")"),"Nessuno")</f>
        <v>Nessuno</v>
      </c>
      <c r="H139" s="3" t="str">
        <f ca="1">IFERROR(__xludf.DUMMYFUNCTION("GOOGLETRANSLATE(A139,""en"",""nl"")"),"Geen")</f>
        <v>Geen</v>
      </c>
      <c r="I139" s="3" t="str">
        <f ca="1">IFERROR(__xludf.DUMMYFUNCTION("GOOGLETRANSLATE(A139,""en"",""eu"")"),"Bat ere ez")</f>
        <v>Bat ere ez</v>
      </c>
      <c r="J139" s="3" t="str">
        <f ca="1">IFERROR(__xludf.DUMMYFUNCTION("GOOGLETRANSLATE(A139,""en"",""gl"")"),"Ningún")</f>
        <v>Ningún</v>
      </c>
      <c r="K139" s="3" t="str">
        <f ca="1">IFERROR(__xludf.DUMMYFUNCTION("GOOGLETRANSLATE(A139,""en"",""zh"")"),"没有任何")</f>
        <v>没有任何</v>
      </c>
    </row>
    <row r="140" spans="1:11" x14ac:dyDescent="0.2">
      <c r="A140" s="4" t="s">
        <v>149</v>
      </c>
      <c r="B140" s="3" t="str">
        <f t="shared" si="0"/>
        <v>Not Found</v>
      </c>
      <c r="C140" s="3" t="str">
        <f ca="1">IFERROR(__xludf.DUMMYFUNCTION("GOOGLETRANSLATE(A140,""en"",""es"")"),"Extraviado")</f>
        <v>Extraviado</v>
      </c>
      <c r="D140" s="3" t="str">
        <f ca="1">IFERROR(__xludf.DUMMYFUNCTION("GOOGLETRANSLATE(A140,""en"",""ca"")"),"No trobat")</f>
        <v>No trobat</v>
      </c>
      <c r="E140" s="3" t="str">
        <f ca="1">IFERROR(__xludf.DUMMYFUNCTION("GOOGLETRANSLATE(A140,""en"",""fr"")"),"Introuvable")</f>
        <v>Introuvable</v>
      </c>
      <c r="F140" s="3" t="str">
        <f ca="1">IFERROR(__xludf.DUMMYFUNCTION("GOOGLETRANSLATE(A140,""en"",""de"")"),"Nicht gefunden")</f>
        <v>Nicht gefunden</v>
      </c>
      <c r="G140" s="3" t="str">
        <f ca="1">IFERROR(__xludf.DUMMYFUNCTION("GOOGLETRANSLATE(A140,""en"",""it"")"),"Non trovato")</f>
        <v>Non trovato</v>
      </c>
      <c r="H140" s="3" t="str">
        <f ca="1">IFERROR(__xludf.DUMMYFUNCTION("GOOGLETRANSLATE(A140,""en"",""nl"")"),"Niet gevonden")</f>
        <v>Niet gevonden</v>
      </c>
      <c r="I140" s="3" t="str">
        <f ca="1">IFERROR(__xludf.DUMMYFUNCTION("GOOGLETRANSLATE(A140,""en"",""eu"")"),"Ez da aurkitu")</f>
        <v>Ez da aurkitu</v>
      </c>
      <c r="J140" s="3" t="str">
        <f ca="1">IFERROR(__xludf.DUMMYFUNCTION("GOOGLETRANSLATE(A140,""en"",""gl"")"),"Non atopado")</f>
        <v>Non atopado</v>
      </c>
      <c r="K140" s="3" t="str">
        <f ca="1">IFERROR(__xludf.DUMMYFUNCTION("GOOGLETRANSLATE(A140,""en"",""zh"")"),"未找到")</f>
        <v>未找到</v>
      </c>
    </row>
    <row r="141" spans="1:11" x14ac:dyDescent="0.2">
      <c r="A141" s="4" t="s">
        <v>150</v>
      </c>
      <c r="B141" s="3" t="str">
        <f t="shared" si="0"/>
        <v>Not Registered!</v>
      </c>
      <c r="C141" s="3" t="str">
        <f ca="1">IFERROR(__xludf.DUMMYFUNCTION("GOOGLETRANSLATE(A141,""en"",""es"")"),"¡No registrado!")</f>
        <v>¡No registrado!</v>
      </c>
      <c r="D141" s="3" t="str">
        <f ca="1">IFERROR(__xludf.DUMMYFUNCTION("GOOGLETRANSLATE(A141,""en"",""ca"")"),"No registrat!")</f>
        <v>No registrat!</v>
      </c>
      <c r="E141" s="3" t="str">
        <f ca="1">IFERROR(__xludf.DUMMYFUNCTION("GOOGLETRANSLATE(A141,""en"",""fr"")"),"Non inscrit !")</f>
        <v>Non inscrit !</v>
      </c>
      <c r="F141" s="3" t="str">
        <f ca="1">IFERROR(__xludf.DUMMYFUNCTION("GOOGLETRANSLATE(A141,""en"",""de"")"),"Nicht registriert!")</f>
        <v>Nicht registriert!</v>
      </c>
      <c r="G141" s="3" t="str">
        <f ca="1">IFERROR(__xludf.DUMMYFUNCTION("GOOGLETRANSLATE(A141,""en"",""it"")"),"Non registrato!")</f>
        <v>Non registrato!</v>
      </c>
      <c r="H141" s="3" t="str">
        <f ca="1">IFERROR(__xludf.DUMMYFUNCTION("GOOGLETRANSLATE(A141,""en"",""nl"")"),"Niet geregistreerd!")</f>
        <v>Niet geregistreerd!</v>
      </c>
      <c r="I141" s="3" t="str">
        <f ca="1">IFERROR(__xludf.DUMMYFUNCTION("GOOGLETRANSLATE(A141,""en"",""eu"")"),"Erregistratu gabe!")</f>
        <v>Erregistratu gabe!</v>
      </c>
      <c r="J141" s="3" t="str">
        <f ca="1">IFERROR(__xludf.DUMMYFUNCTION("GOOGLETRANSLATE(A141,""en"",""gl"")"),"Non rexistrado!")</f>
        <v>Non rexistrado!</v>
      </c>
      <c r="K141" s="3" t="str">
        <f ca="1">IFERROR(__xludf.DUMMYFUNCTION("GOOGLETRANSLATE(A141,""en"",""zh"")"),"未注册！")</f>
        <v>未注册！</v>
      </c>
    </row>
    <row r="142" spans="1:11" x14ac:dyDescent="0.2">
      <c r="A142" s="4" t="s">
        <v>151</v>
      </c>
      <c r="B142" s="3" t="str">
        <f t="shared" si="0"/>
        <v>OEM Remotes</v>
      </c>
      <c r="C142" s="3" t="str">
        <f ca="1">IFERROR(__xludf.DUMMYFUNCTION("GOOGLETRANSLATE(A142,""en"",""es"")"),"Mandos a distancia OEM")</f>
        <v>Mandos a distancia OEM</v>
      </c>
      <c r="D142" s="3" t="str">
        <f ca="1">IFERROR(__xludf.DUMMYFUNCTION("GOOGLETRANSLATE(A142,""en"",""ca"")"),"Comandaments a distància OEM")</f>
        <v>Comandaments a distància OEM</v>
      </c>
      <c r="E142" s="3" t="str">
        <f ca="1">IFERROR(__xludf.DUMMYFUNCTION("GOOGLETRANSLATE(A142,""en"",""fr"")"),"Télécommandes OEM")</f>
        <v>Télécommandes OEM</v>
      </c>
      <c r="F142" s="3" t="str">
        <f ca="1">IFERROR(__xludf.DUMMYFUNCTION("GOOGLETRANSLATE(A142,""en"",""de"")"),"OEM-Fernbedienungen")</f>
        <v>OEM-Fernbedienungen</v>
      </c>
      <c r="G142" s="3" t="str">
        <f ca="1">IFERROR(__xludf.DUMMYFUNCTION("GOOGLETRANSLATE(A142,""en"",""it"")"),"Telecomandi OEM")</f>
        <v>Telecomandi OEM</v>
      </c>
      <c r="H142" s="3" t="str">
        <f ca="1">IFERROR(__xludf.DUMMYFUNCTION("GOOGLETRANSLATE(A142,""en"",""nl"")"),"OEM-afstandsbedieningen")</f>
        <v>OEM-afstandsbedieningen</v>
      </c>
      <c r="I142" s="3" t="str">
        <f ca="1">IFERROR(__xludf.DUMMYFUNCTION("GOOGLETRANSLATE(A142,""en"",""eu"")"),"OEM urruneko kontrolak")</f>
        <v>OEM urruneko kontrolak</v>
      </c>
      <c r="J142" s="3" t="str">
        <f ca="1">IFERROR(__xludf.DUMMYFUNCTION("GOOGLETRANSLATE(A142,""en"",""gl"")"),"Mandos a distancia OEM")</f>
        <v>Mandos a distancia OEM</v>
      </c>
      <c r="K142" s="3" t="str">
        <f ca="1">IFERROR(__xludf.DUMMYFUNCTION("GOOGLETRANSLATE(A142,""en"",""zh"")"),"OEM 遥控器")</f>
        <v>OEM 遥控器</v>
      </c>
    </row>
    <row r="143" spans="1:11" x14ac:dyDescent="0.2">
      <c r="A143" s="4" t="s">
        <v>152</v>
      </c>
      <c r="B143" s="3" t="str">
        <f t="shared" si="0"/>
        <v>OK</v>
      </c>
      <c r="C143" s="3" t="str">
        <f ca="1">IFERROR(__xludf.DUMMYFUNCTION("GOOGLETRANSLATE(A143,""en"",""es"")"),"DE ACUERDO")</f>
        <v>DE ACUERDO</v>
      </c>
      <c r="D143" s="3" t="str">
        <f ca="1">IFERROR(__xludf.DUMMYFUNCTION("GOOGLETRANSLATE(A143,""en"",""ca"")"),"D'acord")</f>
        <v>D'acord</v>
      </c>
      <c r="E143" s="3" t="str">
        <f ca="1">IFERROR(__xludf.DUMMYFUNCTION("GOOGLETRANSLATE(A143,""en"",""fr"")"),"D'ACCORD")</f>
        <v>D'ACCORD</v>
      </c>
      <c r="F143" s="3" t="str">
        <f ca="1">IFERROR(__xludf.DUMMYFUNCTION("GOOGLETRANSLATE(A143,""en"",""de"")"),"OK")</f>
        <v>OK</v>
      </c>
      <c r="G143" s="3" t="str">
        <f ca="1">IFERROR(__xludf.DUMMYFUNCTION("GOOGLETRANSLATE(A143,""en"",""it"")"),"OK")</f>
        <v>OK</v>
      </c>
      <c r="H143" s="3" t="str">
        <f ca="1">IFERROR(__xludf.DUMMYFUNCTION("GOOGLETRANSLATE(A143,""en"",""nl"")"),"OK")</f>
        <v>OK</v>
      </c>
      <c r="I143" s="3" t="str">
        <f ca="1">IFERROR(__xludf.DUMMYFUNCTION("GOOGLETRANSLATE(A143,""en"",""eu"")"),"Ados")</f>
        <v>Ados</v>
      </c>
      <c r="J143" s="3" t="str">
        <f ca="1">IFERROR(__xludf.DUMMYFUNCTION("GOOGLETRANSLATE(A143,""en"",""gl"")"),"OK")</f>
        <v>OK</v>
      </c>
      <c r="K143" s="3" t="str">
        <f ca="1">IFERROR(__xludf.DUMMYFUNCTION("GOOGLETRANSLATE(A143,""en"",""zh"")"),"好的")</f>
        <v>好的</v>
      </c>
    </row>
    <row r="144" spans="1:11" x14ac:dyDescent="0.2">
      <c r="A144" s="4" t="s">
        <v>153</v>
      </c>
      <c r="B144" s="3" t="str">
        <f t="shared" si="0"/>
        <v>On Board Transponder Procedures</v>
      </c>
      <c r="C144" s="3" t="str">
        <f ca="1">IFERROR(__xludf.DUMMYFUNCTION("GOOGLETRANSLATE(A144,""en"",""es"")"),"Procedimientos de transpondedor a bordo")</f>
        <v>Procedimientos de transpondedor a bordo</v>
      </c>
      <c r="D144" s="3" t="str">
        <f ca="1">IFERROR(__xludf.DUMMYFUNCTION("GOOGLETRANSLATE(A144,""en"",""ca"")"),"Procediments de transponder a bord")</f>
        <v>Procediments de transponder a bord</v>
      </c>
      <c r="E144" s="3" t="str">
        <f ca="1">IFERROR(__xludf.DUMMYFUNCTION("GOOGLETRANSLATE(A144,""en"",""fr"")"),"Procédures relatives aux transpondeurs à bord")</f>
        <v>Procédures relatives aux transpondeurs à bord</v>
      </c>
      <c r="F144" s="3" t="str">
        <f ca="1">IFERROR(__xludf.DUMMYFUNCTION("GOOGLETRANSLATE(A144,""en"",""de"")"),"Transponderverfahren an Bord")</f>
        <v>Transponderverfahren an Bord</v>
      </c>
      <c r="G144" s="3" t="str">
        <f ca="1">IFERROR(__xludf.DUMMYFUNCTION("GOOGLETRANSLATE(A144,""en"",""it"")"),"Procedure relative al transponder di bordo")</f>
        <v>Procedure relative al transponder di bordo</v>
      </c>
      <c r="H144" s="3" t="str">
        <f ca="1">IFERROR(__xludf.DUMMYFUNCTION("GOOGLETRANSLATE(A144,""en"",""nl"")"),"Transponderprocedures aan boord")</f>
        <v>Transponderprocedures aan boord</v>
      </c>
      <c r="I144" s="3" t="str">
        <f ca="1">IFERROR(__xludf.DUMMYFUNCTION("GOOGLETRANSLATE(A144,""en"",""eu"")"),"Transponder barneko prozedurak")</f>
        <v>Transponder barneko prozedurak</v>
      </c>
      <c r="J144" s="3" t="str">
        <f ca="1">IFERROR(__xludf.DUMMYFUNCTION("GOOGLETRANSLATE(A144,""en"",""gl"")"),"Procedementos de transpondedor a bordo")</f>
        <v>Procedementos de transpondedor a bordo</v>
      </c>
      <c r="K144" s="3" t="str">
        <f ca="1">IFERROR(__xludf.DUMMYFUNCTION("GOOGLETRANSLATE(A144,""en"",""zh"")"),"机载应答器程序")</f>
        <v>机载应答器程序</v>
      </c>
    </row>
    <row r="145" spans="1:25" x14ac:dyDescent="0.2">
      <c r="A145" s="4" t="s">
        <v>154</v>
      </c>
      <c r="B145" s="3" t="str">
        <f t="shared" si="0"/>
        <v>Other Resources</v>
      </c>
      <c r="C145" s="3" t="str">
        <f ca="1">IFERROR(__xludf.DUMMYFUNCTION("GOOGLETRANSLATE(A145,""en"",""es"")"),"Otros recursos")</f>
        <v>Otros recursos</v>
      </c>
      <c r="D145" s="3" t="str">
        <f ca="1">IFERROR(__xludf.DUMMYFUNCTION("GOOGLETRANSLATE(A145,""en"",""ca"")"),"Altres Recursos")</f>
        <v>Altres Recursos</v>
      </c>
      <c r="E145" s="3" t="str">
        <f ca="1">IFERROR(__xludf.DUMMYFUNCTION("GOOGLETRANSLATE(A145,""en"",""fr"")"),"Autres ressources")</f>
        <v>Autres ressources</v>
      </c>
      <c r="F145" s="3" t="str">
        <f ca="1">IFERROR(__xludf.DUMMYFUNCTION("GOOGLETRANSLATE(A145,""en"",""de"")"),"Andere Ressourcen")</f>
        <v>Andere Ressourcen</v>
      </c>
      <c r="G145" s="3" t="str">
        <f ca="1">IFERROR(__xludf.DUMMYFUNCTION("GOOGLETRANSLATE(A145,""en"",""it"")"),"Altre risorse")</f>
        <v>Altre risorse</v>
      </c>
      <c r="H145" s="3" t="str">
        <f ca="1">IFERROR(__xludf.DUMMYFUNCTION("GOOGLETRANSLATE(A145,""en"",""nl"")"),"Andere bronnen")</f>
        <v>Andere bronnen</v>
      </c>
      <c r="I145" s="3" t="str">
        <f ca="1">IFERROR(__xludf.DUMMYFUNCTION("GOOGLETRANSLATE(A145,""en"",""eu"")"),"Beste Baliabide batzuk")</f>
        <v>Beste Baliabide batzuk</v>
      </c>
      <c r="J145" s="3" t="str">
        <f ca="1">IFERROR(__xludf.DUMMYFUNCTION("GOOGLETRANSLATE(A145,""en"",""gl"")"),"Outros Recursos")</f>
        <v>Outros Recursos</v>
      </c>
      <c r="K145" s="3" t="str">
        <f ca="1">IFERROR(__xludf.DUMMYFUNCTION("GOOGLETRANSLATE(A145,""en"",""zh"")"),"其他资源")</f>
        <v>其他资源</v>
      </c>
    </row>
    <row r="146" spans="1:25" x14ac:dyDescent="0.2">
      <c r="A146" s="4" t="s">
        <v>155</v>
      </c>
      <c r="B146" s="3" t="str">
        <f t="shared" si="0"/>
        <v>Password</v>
      </c>
      <c r="C146" s="3" t="str">
        <f ca="1">IFERROR(__xludf.DUMMYFUNCTION("GOOGLETRANSLATE(A146,""en"",""es"")"),"Contraseña")</f>
        <v>Contraseña</v>
      </c>
      <c r="D146" s="3" t="str">
        <f ca="1">IFERROR(__xludf.DUMMYFUNCTION("GOOGLETRANSLATE(A146,""en"",""ca"")"),"Contrasenya")</f>
        <v>Contrasenya</v>
      </c>
      <c r="E146" s="3" t="str">
        <f ca="1">IFERROR(__xludf.DUMMYFUNCTION("GOOGLETRANSLATE(A146,""en"",""fr"")"),"Mot de passe")</f>
        <v>Mot de passe</v>
      </c>
      <c r="F146" s="3" t="str">
        <f ca="1">IFERROR(__xludf.DUMMYFUNCTION("GOOGLETRANSLATE(A146,""en"",""de"")"),"Passwort")</f>
        <v>Passwort</v>
      </c>
      <c r="G146" s="3" t="str">
        <f ca="1">IFERROR(__xludf.DUMMYFUNCTION("GOOGLETRANSLATE(A146,""en"",""it"")"),"Password")</f>
        <v>Password</v>
      </c>
      <c r="H146" s="3" t="str">
        <f ca="1">IFERROR(__xludf.DUMMYFUNCTION("GOOGLETRANSLATE(A146,""en"",""nl"")"),"Wachtwoord")</f>
        <v>Wachtwoord</v>
      </c>
      <c r="I146" s="3" t="str">
        <f ca="1">IFERROR(__xludf.DUMMYFUNCTION("GOOGLETRANSLATE(A146,""en"",""eu"")"),"Pasahitza")</f>
        <v>Pasahitza</v>
      </c>
      <c r="J146" s="3" t="str">
        <f ca="1">IFERROR(__xludf.DUMMYFUNCTION("GOOGLETRANSLATE(A146,""en"",""gl"")"),"Contrasinal")</f>
        <v>Contrasinal</v>
      </c>
      <c r="K146" s="3" t="str">
        <f ca="1">IFERROR(__xludf.DUMMYFUNCTION("GOOGLETRANSLATE(A146,""en"",""zh"")"),"密码")</f>
        <v>密码</v>
      </c>
    </row>
    <row r="147" spans="1:25" x14ac:dyDescent="0.2">
      <c r="A147" s="4" t="s">
        <v>156</v>
      </c>
      <c r="B147" s="3" t="str">
        <f t="shared" si="0"/>
        <v>Permission</v>
      </c>
      <c r="C147" s="3" t="str">
        <f ca="1">IFERROR(__xludf.DUMMYFUNCTION("GOOGLETRANSLATE(A147,""en"",""es"")"),"Permiso")</f>
        <v>Permiso</v>
      </c>
      <c r="D147" s="3" t="str">
        <f ca="1">IFERROR(__xludf.DUMMYFUNCTION("GOOGLETRANSLATE(A147,""en"",""ca"")"),"Permís")</f>
        <v>Permís</v>
      </c>
      <c r="E147" s="3" t="str">
        <f ca="1">IFERROR(__xludf.DUMMYFUNCTION("GOOGLETRANSLATE(A147,""en"",""fr"")"),"Autorisation")</f>
        <v>Autorisation</v>
      </c>
      <c r="F147" s="3" t="str">
        <f ca="1">IFERROR(__xludf.DUMMYFUNCTION("GOOGLETRANSLATE(A147,""en"",""de"")"),"Erlaubnis")</f>
        <v>Erlaubnis</v>
      </c>
      <c r="G147" s="3" t="str">
        <f ca="1">IFERROR(__xludf.DUMMYFUNCTION("GOOGLETRANSLATE(A147,""en"",""it"")"),"Autorizzazione")</f>
        <v>Autorizzazione</v>
      </c>
      <c r="H147" s="3" t="str">
        <f ca="1">IFERROR(__xludf.DUMMYFUNCTION("GOOGLETRANSLATE(A147,""en"",""nl"")"),"Toestemming")</f>
        <v>Toestemming</v>
      </c>
      <c r="I147" s="3" t="str">
        <f ca="1">IFERROR(__xludf.DUMMYFUNCTION("GOOGLETRANSLATE(A147,""en"",""eu"")"),"Baimena")</f>
        <v>Baimena</v>
      </c>
      <c r="J147" s="3" t="str">
        <f ca="1">IFERROR(__xludf.DUMMYFUNCTION("GOOGLETRANSLATE(A147,""en"",""gl"")"),"Permiso")</f>
        <v>Permiso</v>
      </c>
      <c r="K147" s="3" t="str">
        <f ca="1">IFERROR(__xludf.DUMMYFUNCTION("GOOGLETRANSLATE(A147,""en"",""zh"")"),"允许")</f>
        <v>允许</v>
      </c>
    </row>
    <row r="148" spans="1:25" x14ac:dyDescent="0.2">
      <c r="A148" s="4" t="s">
        <v>157</v>
      </c>
      <c r="B148" s="3" t="str">
        <f t="shared" si="0"/>
        <v>PIN Calculator</v>
      </c>
      <c r="C148" s="3" t="str">
        <f ca="1">IFERROR(__xludf.DUMMYFUNCTION("GOOGLETRANSLATE(A148,""en"",""es"")"),"Calculadora de PIN")</f>
        <v>Calculadora de PIN</v>
      </c>
      <c r="D148" s="3" t="str">
        <f ca="1">IFERROR(__xludf.DUMMYFUNCTION("GOOGLETRANSLATE(A148,""en"",""ca"")"),"Calculadora de PIN")</f>
        <v>Calculadora de PIN</v>
      </c>
      <c r="E148" s="3" t="str">
        <f ca="1">IFERROR(__xludf.DUMMYFUNCTION("GOOGLETRANSLATE(A148,""en"",""fr"")"),"Calculateur de code PIN")</f>
        <v>Calculateur de code PIN</v>
      </c>
      <c r="F148" s="3" t="str">
        <f ca="1">IFERROR(__xludf.DUMMYFUNCTION("GOOGLETRANSLATE(A148,""en"",""de"")"),"PIN-Rechner")</f>
        <v>PIN-Rechner</v>
      </c>
      <c r="G148" s="3" t="str">
        <f ca="1">IFERROR(__xludf.DUMMYFUNCTION("GOOGLETRANSLATE(A148,""en"",""it"")"),"Calcolatore del PIN")</f>
        <v>Calcolatore del PIN</v>
      </c>
      <c r="H148" s="3" t="str">
        <f ca="1">IFERROR(__xludf.DUMMYFUNCTION("GOOGLETRANSLATE(A148,""en"",""nl"")"),"PIN-calculator")</f>
        <v>PIN-calculator</v>
      </c>
      <c r="I148" s="3" t="str">
        <f ca="1">IFERROR(__xludf.DUMMYFUNCTION("GOOGLETRANSLATE(A148,""en"",""eu"")"),"PIN kalkulagailua")</f>
        <v>PIN kalkulagailua</v>
      </c>
      <c r="J148" s="3" t="str">
        <f ca="1">IFERROR(__xludf.DUMMYFUNCTION("GOOGLETRANSLATE(A148,""en"",""gl"")"),"Calculadora de PIN")</f>
        <v>Calculadora de PIN</v>
      </c>
      <c r="K148" s="3" t="str">
        <f ca="1">IFERROR(__xludf.DUMMYFUNCTION("GOOGLETRANSLATE(A148,""en"",""zh"")"),"密码计算器")</f>
        <v>密码计算器</v>
      </c>
    </row>
    <row r="149" spans="1:25" x14ac:dyDescent="0.2">
      <c r="A149" s="4" t="s">
        <v>158</v>
      </c>
      <c r="B149" s="3" t="str">
        <f t="shared" si="0"/>
        <v>PIN/Hex Calc</v>
      </c>
      <c r="C149" s="3" t="str">
        <f ca="1">IFERROR(__xludf.DUMMYFUNCTION("GOOGLETRANSLATE(A149,""en"",""es"")"),"Cálculo de PIN/hexadecimal")</f>
        <v>Cálculo de PIN/hexadecimal</v>
      </c>
      <c r="D149" s="3" t="str">
        <f ca="1">IFERROR(__xludf.DUMMYFUNCTION("GOOGLETRANSLATE(A149,""en"",""ca"")"),"PIN/Hex Calc")</f>
        <v>PIN/Hex Calc</v>
      </c>
      <c r="E149" s="3" t="str">
        <f ca="1">IFERROR(__xludf.DUMMYFUNCTION("GOOGLETRANSLATE(A149,""en"",""fr"")"),"Calcul PIN/Hex")</f>
        <v>Calcul PIN/Hex</v>
      </c>
      <c r="F149" s="3" t="str">
        <f ca="1">IFERROR(__xludf.DUMMYFUNCTION("GOOGLETRANSLATE(A149,""en"",""de"")"),"PIN/Hex-Berechnung")</f>
        <v>PIN/Hex-Berechnung</v>
      </c>
      <c r="G149" s="3" t="str">
        <f ca="1">IFERROR(__xludf.DUMMYFUNCTION("GOOGLETRANSLATE(A149,""en"",""it"")"),"PIN/Calcolo esadecimale")</f>
        <v>PIN/Calcolo esadecimale</v>
      </c>
      <c r="H149" s="3" t="str">
        <f ca="1">IFERROR(__xludf.DUMMYFUNCTION("GOOGLETRANSLATE(A149,""en"",""nl"")"),"PIN/Hex-berekening")</f>
        <v>PIN/Hex-berekening</v>
      </c>
      <c r="I149" s="3" t="str">
        <f ca="1">IFERROR(__xludf.DUMMYFUNCTION("GOOGLETRANSLATE(A149,""en"",""eu"")"),"PIN/Hex Calc")</f>
        <v>PIN/Hex Calc</v>
      </c>
      <c r="J149" s="3" t="str">
        <f ca="1">IFERROR(__xludf.DUMMYFUNCTION("GOOGLETRANSLATE(A149,""en"",""gl"")"),"PIN/Hex Calc")</f>
        <v>PIN/Hex Calc</v>
      </c>
      <c r="K149" s="3" t="str">
        <f ca="1">IFERROR(__xludf.DUMMYFUNCTION("GOOGLETRANSLATE(A149,""en"",""zh"")"),"PIN/十六进制计算器")</f>
        <v>PIN/十六进制计算器</v>
      </c>
    </row>
    <row r="150" spans="1:25" x14ac:dyDescent="0.2">
      <c r="A150" s="4" t="s">
        <v>159</v>
      </c>
      <c r="B150" s="3" t="str">
        <f t="shared" si="0"/>
        <v>Please wait</v>
      </c>
      <c r="C150" s="3" t="str">
        <f ca="1">IFERROR(__xludf.DUMMYFUNCTION("GOOGLETRANSLATE(A150,""en"",""es"")"),"Espere por favor")</f>
        <v>Espere por favor</v>
      </c>
      <c r="D150" s="3" t="str">
        <f ca="1">IFERROR(__xludf.DUMMYFUNCTION("GOOGLETRANSLATE(A150,""en"",""ca"")"),"Si us plau, espereu")</f>
        <v>Si us plau, espereu</v>
      </c>
      <c r="E150" s="3" t="str">
        <f ca="1">IFERROR(__xludf.DUMMYFUNCTION("GOOGLETRANSLATE(A150,""en"",""fr"")"),"S'il vous plaît, attendez")</f>
        <v>S'il vous plaît, attendez</v>
      </c>
      <c r="F150" s="3" t="str">
        <f ca="1">IFERROR(__xludf.DUMMYFUNCTION("GOOGLETRANSLATE(A150,""en"",""de"")"),"Bitte warten")</f>
        <v>Bitte warten</v>
      </c>
      <c r="G150" s="3" t="str">
        <f ca="1">IFERROR(__xludf.DUMMYFUNCTION("GOOGLETRANSLATE(A150,""en"",""it"")"),"attendere prego")</f>
        <v>attendere prego</v>
      </c>
      <c r="H150" s="3" t="str">
        <f ca="1">IFERROR(__xludf.DUMMYFUNCTION("GOOGLETRANSLATE(A150,""en"",""nl"")"),"Wacht alstublieft")</f>
        <v>Wacht alstublieft</v>
      </c>
      <c r="I150" s="3" t="str">
        <f ca="1">IFERROR(__xludf.DUMMYFUNCTION("GOOGLETRANSLATE(A150,""en"",""eu"")"),"Mesedez, itxaron")</f>
        <v>Mesedez, itxaron</v>
      </c>
      <c r="J150" s="3" t="str">
        <f ca="1">IFERROR(__xludf.DUMMYFUNCTION("GOOGLETRANSLATE(A150,""en"",""gl"")"),"Por favor, agarde")</f>
        <v>Por favor, agarde</v>
      </c>
      <c r="K150" s="3" t="str">
        <f ca="1">IFERROR(__xludf.DUMMYFUNCTION("GOOGLETRANSLATE(A150,""en"",""zh"")"),"请稍等")</f>
        <v>请稍等</v>
      </c>
    </row>
    <row r="151" spans="1:25" x14ac:dyDescent="0.2">
      <c r="A151" s="4" t="s">
        <v>160</v>
      </c>
      <c r="B151" s="3" t="str">
        <f t="shared" si="0"/>
        <v>Please Enter User Name</v>
      </c>
      <c r="C151" s="3" t="str">
        <f ca="1">IFERROR(__xludf.DUMMYFUNCTION("GOOGLETRANSLATE(A151,""en"",""es"")"),"Por favor ingrese el nombre de usuario")</f>
        <v>Por favor ingrese el nombre de usuario</v>
      </c>
      <c r="D151" s="3" t="str">
        <f ca="1">IFERROR(__xludf.DUMMYFUNCTION("GOOGLETRANSLATE(A151,""en"",""ca"")"),"Introduïu el nom d'usuari")</f>
        <v>Introduïu el nom d'usuari</v>
      </c>
      <c r="E151" s="3" t="str">
        <f ca="1">IFERROR(__xludf.DUMMYFUNCTION("GOOGLETRANSLATE(A151,""en"",""fr"")"),"Veuillez entrer le nom d'utilisateur")</f>
        <v>Veuillez entrer le nom d'utilisateur</v>
      </c>
      <c r="F151" s="3" t="str">
        <f ca="1">IFERROR(__xludf.DUMMYFUNCTION("GOOGLETRANSLATE(A151,""en"",""de"")"),"Bitte geben Sie den Benutzernamen ein")</f>
        <v>Bitte geben Sie den Benutzernamen ein</v>
      </c>
      <c r="G151" s="3" t="str">
        <f ca="1">IFERROR(__xludf.DUMMYFUNCTION("GOOGLETRANSLATE(A151,""en"",""it"")"),"Inserisci il nome utente")</f>
        <v>Inserisci il nome utente</v>
      </c>
      <c r="H151" s="3" t="str">
        <f ca="1">IFERROR(__xludf.DUMMYFUNCTION("GOOGLETRANSLATE(A151,""en"",""nl"")"),"Voer de gebruikersnaam in")</f>
        <v>Voer de gebruikersnaam in</v>
      </c>
      <c r="I151" s="3" t="str">
        <f ca="1">IFERROR(__xludf.DUMMYFUNCTION("GOOGLETRANSLATE(A151,""en"",""eu"")"),"Mesedez, idatzi erabiltzaile-izena")</f>
        <v>Mesedez, idatzi erabiltzaile-izena</v>
      </c>
      <c r="J151" s="3" t="str">
        <f ca="1">IFERROR(__xludf.DUMMYFUNCTION("GOOGLETRANSLATE(A151,""en"",""gl"")"),"Introduza o nome de usuario")</f>
        <v>Introduza o nome de usuario</v>
      </c>
      <c r="K151" s="3" t="str">
        <f ca="1">IFERROR(__xludf.DUMMYFUNCTION("GOOGLETRANSLATE(A151,""en"",""zh"")"),"请输入用户名")</f>
        <v>请输入用户名</v>
      </c>
    </row>
    <row r="152" spans="1:25" x14ac:dyDescent="0.2">
      <c r="A152" s="4" t="s">
        <v>161</v>
      </c>
      <c r="B152" s="3" t="str">
        <f t="shared" si="0"/>
        <v>Please Enter Password</v>
      </c>
      <c r="C152" s="3" t="str">
        <f ca="1">IFERROR(__xludf.DUMMYFUNCTION("GOOGLETRANSLATE(A152,""en"",""es"")"),"Por favor ingrese la contraseña")</f>
        <v>Por favor ingrese la contraseña</v>
      </c>
      <c r="D152" s="3" t="str">
        <f ca="1">IFERROR(__xludf.DUMMYFUNCTION("GOOGLETRANSLATE(A152,""en"",""ca"")"),"Introduïu la contrasenya")</f>
        <v>Introduïu la contrasenya</v>
      </c>
      <c r="E152" s="3" t="str">
        <f ca="1">IFERROR(__xludf.DUMMYFUNCTION("GOOGLETRANSLATE(A152,""en"",""fr"")"),"Veuillez entrer le mot de passe")</f>
        <v>Veuillez entrer le mot de passe</v>
      </c>
      <c r="F152" s="3" t="str">
        <f ca="1">IFERROR(__xludf.DUMMYFUNCTION("GOOGLETRANSLATE(A152,""en"",""de"")"),"Bitte geben Sie das Passwort ein")</f>
        <v>Bitte geben Sie das Passwort ein</v>
      </c>
      <c r="G152" s="3" t="str">
        <f ca="1">IFERROR(__xludf.DUMMYFUNCTION("GOOGLETRANSLATE(A152,""en"",""it"")"),"Inserisci la password")</f>
        <v>Inserisci la password</v>
      </c>
      <c r="H152" s="3" t="str">
        <f ca="1">IFERROR(__xludf.DUMMYFUNCTION("GOOGLETRANSLATE(A152,""en"",""nl"")"),"Voer uw wachtwoord in")</f>
        <v>Voer uw wachtwoord in</v>
      </c>
      <c r="I152" s="3" t="str">
        <f ca="1">IFERROR(__xludf.DUMMYFUNCTION("GOOGLETRANSLATE(A152,""en"",""eu"")"),"Mesedez, sartu pasahitza")</f>
        <v>Mesedez, sartu pasahitza</v>
      </c>
      <c r="J152" s="3" t="str">
        <f ca="1">IFERROR(__xludf.DUMMYFUNCTION("GOOGLETRANSLATE(A152,""en"",""gl"")"),"Introduza o contrasinal")</f>
        <v>Introduza o contrasinal</v>
      </c>
      <c r="K152" s="3" t="str">
        <f ca="1">IFERROR(__xludf.DUMMYFUNCTION("GOOGLETRANSLATE(A152,""en"",""zh"")"),"请输入密码")</f>
        <v>请输入密码</v>
      </c>
    </row>
    <row r="153" spans="1:25" x14ac:dyDescent="0.2">
      <c r="A153" s="4" t="s">
        <v>162</v>
      </c>
      <c r="B153" s="3" t="str">
        <f t="shared" si="0"/>
        <v>Preferences</v>
      </c>
      <c r="C153" s="3" t="str">
        <f ca="1">IFERROR(__xludf.DUMMYFUNCTION("GOOGLETRANSLATE(A153,""en"",""es"")"),"Preferencias")</f>
        <v>Preferencias</v>
      </c>
      <c r="D153" s="3" t="str">
        <f ca="1">IFERROR(__xludf.DUMMYFUNCTION("GOOGLETRANSLATE(A153,""en"",""ca"")"),"Preferències")</f>
        <v>Preferències</v>
      </c>
      <c r="E153" s="3" t="str">
        <f ca="1">IFERROR(__xludf.DUMMYFUNCTION("GOOGLETRANSLATE(A153,""en"",""fr"")"),"Préférences")</f>
        <v>Préférences</v>
      </c>
      <c r="F153" s="3" t="str">
        <f ca="1">IFERROR(__xludf.DUMMYFUNCTION("GOOGLETRANSLATE(A153,""en"",""de"")"),"Präferenzen")</f>
        <v>Präferenzen</v>
      </c>
      <c r="G153" s="3" t="str">
        <f ca="1">IFERROR(__xludf.DUMMYFUNCTION("GOOGLETRANSLATE(A153,""en"",""it"")"),"Preferenze")</f>
        <v>Preferenze</v>
      </c>
      <c r="H153" s="3" t="str">
        <f ca="1">IFERROR(__xludf.DUMMYFUNCTION("GOOGLETRANSLATE(A153,""en"",""nl"")"),"Voorkeuren")</f>
        <v>Voorkeuren</v>
      </c>
      <c r="I153" s="3" t="str">
        <f ca="1">IFERROR(__xludf.DUMMYFUNCTION("GOOGLETRANSLATE(A153,""en"",""eu"")"),"Hobespenak")</f>
        <v>Hobespenak</v>
      </c>
      <c r="J153" s="3" t="str">
        <f ca="1">IFERROR(__xludf.DUMMYFUNCTION("GOOGLETRANSLATE(A153,""en"",""gl"")"),"Preferencias")</f>
        <v>Preferencias</v>
      </c>
      <c r="K153" s="3" t="str">
        <f ca="1">IFERROR(__xludf.DUMMYFUNCTION("GOOGLETRANSLATE(A153,""en"",""zh"")"),"偏好设置")</f>
        <v>偏好设置</v>
      </c>
    </row>
    <row r="154" spans="1:25" x14ac:dyDescent="0.2">
      <c r="A154" s="4" t="s">
        <v>163</v>
      </c>
      <c r="B154" s="4" t="str">
        <f t="shared" si="0"/>
        <v>Recent Activity</v>
      </c>
      <c r="C154" s="4" t="str">
        <f ca="1">IFERROR(__xludf.DUMMYFUNCTION("GOOGLETRANSLATE(A154,""en"",""es"")"),"Actividad reciente")</f>
        <v>Actividad reciente</v>
      </c>
      <c r="D154" s="4" t="str">
        <f ca="1">IFERROR(__xludf.DUMMYFUNCTION("GOOGLETRANSLATE(A154,""en"",""ca"")"),"Activitat recent")</f>
        <v>Activitat recent</v>
      </c>
      <c r="E154" s="4" t="str">
        <f ca="1">IFERROR(__xludf.DUMMYFUNCTION("GOOGLETRANSLATE(A154,""en"",""fr"")"),"Activité récente")</f>
        <v>Activité récente</v>
      </c>
      <c r="F154" s="4" t="str">
        <f ca="1">IFERROR(__xludf.DUMMYFUNCTION("GOOGLETRANSLATE(A154,""en"",""de"")"),"Letzte Aktivität")</f>
        <v>Letzte Aktivität</v>
      </c>
      <c r="G154" s="4" t="str">
        <f ca="1">IFERROR(__xludf.DUMMYFUNCTION("GOOGLETRANSLATE(A154,""en"",""it"")"),"Attività recente")</f>
        <v>Attività recente</v>
      </c>
      <c r="H154" s="4" t="str">
        <f ca="1">IFERROR(__xludf.DUMMYFUNCTION("GOOGLETRANSLATE(A154,""en"",""nl"")"),"Recente activiteit")</f>
        <v>Recente activiteit</v>
      </c>
      <c r="I154" s="4" t="str">
        <f ca="1">IFERROR(__xludf.DUMMYFUNCTION("GOOGLETRANSLATE(A154,""en"",""eu"")"),"Azken Jarduera")</f>
        <v>Azken Jarduera</v>
      </c>
      <c r="J154" s="4" t="str">
        <f ca="1">IFERROR(__xludf.DUMMYFUNCTION("GOOGLETRANSLATE(A154,""en"",""gl"")"),"Actividade recente")</f>
        <v>Actividade recente</v>
      </c>
      <c r="K154" s="4" t="str">
        <f ca="1">IFERROR(__xludf.DUMMYFUNCTION("GOOGLETRANSLATE(A154,""en"",""zh"")"),"最近的活动")</f>
        <v>最近的活动</v>
      </c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</row>
    <row r="155" spans="1:25" x14ac:dyDescent="0.2">
      <c r="A155" s="4" t="s">
        <v>164</v>
      </c>
      <c r="B155" s="3" t="str">
        <f t="shared" si="0"/>
        <v>Region (AU, EU, UK, US etc.)</v>
      </c>
      <c r="C155" s="3" t="str">
        <f ca="1">IFERROR(__xludf.DUMMYFUNCTION("GOOGLETRANSLATE(A155,""en"",""es"")"),"Región (AU, UE, Reino Unido, EE. UU., etc.)")</f>
        <v>Región (AU, UE, Reino Unido, EE. UU., etc.)</v>
      </c>
      <c r="D155" s="3" t="str">
        <f ca="1">IFERROR(__xludf.DUMMYFUNCTION("GOOGLETRANSLATE(A155,""en"",""ca"")"),"Regió (UA, UE, Regne Unit, EUA, etc.)")</f>
        <v>Regió (UA, UE, Regne Unit, EUA, etc.)</v>
      </c>
      <c r="E155" s="3" t="str">
        <f ca="1">IFERROR(__xludf.DUMMYFUNCTION("GOOGLETRANSLATE(A155,""en"",""fr"")"),"Région (UA, UE, Royaume-Uni, États-Unis, etc.)")</f>
        <v>Région (UA, UE, Royaume-Uni, États-Unis, etc.)</v>
      </c>
      <c r="F155" s="3" t="str">
        <f ca="1">IFERROR(__xludf.DUMMYFUNCTION("GOOGLETRANSLATE(A155,""en"",""de"")"),"Region (AU, EU, UK, USA usw.)")</f>
        <v>Region (AU, EU, UK, USA usw.)</v>
      </c>
      <c r="G155" s="3" t="str">
        <f ca="1">IFERROR(__xludf.DUMMYFUNCTION("GOOGLETRANSLATE(A155,""en"",""it"")"),"Regione (AU, UE, Regno Unito, Stati Uniti ecc.)")</f>
        <v>Regione (AU, UE, Regno Unito, Stati Uniti ecc.)</v>
      </c>
      <c r="H155" s="3" t="str">
        <f ca="1">IFERROR(__xludf.DUMMYFUNCTION("GOOGLETRANSLATE(A155,""en"",""nl"")"),"Regio (AU, EU, VK, VS enz.)")</f>
        <v>Regio (AU, EU, VK, VS enz.)</v>
      </c>
      <c r="I155" s="3" t="str">
        <f ca="1">IFERROR(__xludf.DUMMYFUNCTION("GOOGLETRANSLATE(A155,""en"",""eu"")"),"Eskualdea (AU, EB, Erresuma Batua, AEB, etab.)")</f>
        <v>Eskualdea (AU, EB, Erresuma Batua, AEB, etab.)</v>
      </c>
      <c r="J155" s="3" t="str">
        <f ca="1">IFERROR(__xludf.DUMMYFUNCTION("GOOGLETRANSLATE(A155,""en"",""gl"")"),"Rexión (AU, UE, Reino Unido, EUA, etc.)")</f>
        <v>Rexión (AU, UE, Reino Unido, EUA, etc.)</v>
      </c>
      <c r="K155" s="3" t="str">
        <f ca="1">IFERROR(__xludf.DUMMYFUNCTION("GOOGLETRANSLATE(A155,""en"",""zh"")"),"地区（澳大利亚、欧盟、英国、美国等）")</f>
        <v>地区（澳大利亚、欧盟、英国、美国等）</v>
      </c>
    </row>
    <row r="156" spans="1:25" x14ac:dyDescent="0.2">
      <c r="A156" s="4" t="s">
        <v>165</v>
      </c>
      <c r="B156" s="3" t="str">
        <f t="shared" si="0"/>
        <v>Register New Account</v>
      </c>
      <c r="C156" s="3" t="str">
        <f ca="1">IFERROR(__xludf.DUMMYFUNCTION("GOOGLETRANSLATE(A156,""en"",""es"")"),"Registrar nueva cuenta")</f>
        <v>Registrar nueva cuenta</v>
      </c>
      <c r="D156" s="3" t="str">
        <f ca="1">IFERROR(__xludf.DUMMYFUNCTION("GOOGLETRANSLATE(A156,""en"",""ca"")"),"Registreu un compte nou")</f>
        <v>Registreu un compte nou</v>
      </c>
      <c r="E156" s="3" t="str">
        <f ca="1">IFERROR(__xludf.DUMMYFUNCTION("GOOGLETRANSLATE(A156,""en"",""fr"")"),"Créer un nouveau compte")</f>
        <v>Créer un nouveau compte</v>
      </c>
      <c r="F156" s="3" t="str">
        <f ca="1">IFERROR(__xludf.DUMMYFUNCTION("GOOGLETRANSLATE(A156,""en"",""de"")"),"Registrieren Sie ein neues Konto")</f>
        <v>Registrieren Sie ein neues Konto</v>
      </c>
      <c r="G156" s="3" t="str">
        <f ca="1">IFERROR(__xludf.DUMMYFUNCTION("GOOGLETRANSLATE(A156,""en"",""it"")"),"Registra un nuovo account")</f>
        <v>Registra un nuovo account</v>
      </c>
      <c r="H156" s="3" t="str">
        <f ca="1">IFERROR(__xludf.DUMMYFUNCTION("GOOGLETRANSLATE(A156,""en"",""nl"")"),"Registreer een nieuw account")</f>
        <v>Registreer een nieuw account</v>
      </c>
      <c r="I156" s="3" t="str">
        <f ca="1">IFERROR(__xludf.DUMMYFUNCTION("GOOGLETRANSLATE(A156,""en"",""eu"")"),"Erregistratu kontu berria")</f>
        <v>Erregistratu kontu berria</v>
      </c>
      <c r="J156" s="3" t="str">
        <f ca="1">IFERROR(__xludf.DUMMYFUNCTION("GOOGLETRANSLATE(A156,""en"",""gl"")"),"Rexistrar unha nova conta")</f>
        <v>Rexistrar unha nova conta</v>
      </c>
      <c r="K156" s="3" t="str">
        <f ca="1">IFERROR(__xludf.DUMMYFUNCTION("GOOGLETRANSLATE(A156,""en"",""zh"")"),"注册新帐户")</f>
        <v>注册新帐户</v>
      </c>
    </row>
    <row r="157" spans="1:25" x14ac:dyDescent="0.2">
      <c r="A157" s="4" t="s">
        <v>166</v>
      </c>
      <c r="B157" s="3" t="str">
        <f t="shared" si="0"/>
        <v>Register</v>
      </c>
      <c r="C157" s="3" t="str">
        <f ca="1">IFERROR(__xludf.DUMMYFUNCTION("GOOGLETRANSLATE(A157,""en"",""es"")"),"Registro")</f>
        <v>Registro</v>
      </c>
      <c r="D157" s="3" t="str">
        <f ca="1">IFERROR(__xludf.DUMMYFUNCTION("GOOGLETRANSLATE(A157,""en"",""ca"")"),"Registra't")</f>
        <v>Registra't</v>
      </c>
      <c r="E157" s="3" t="str">
        <f ca="1">IFERROR(__xludf.DUMMYFUNCTION("GOOGLETRANSLATE(A157,""en"",""fr"")"),"Registre")</f>
        <v>Registre</v>
      </c>
      <c r="F157" s="3" t="str">
        <f ca="1">IFERROR(__xludf.DUMMYFUNCTION("GOOGLETRANSLATE(A157,""en"",""de"")"),"Registrieren")</f>
        <v>Registrieren</v>
      </c>
      <c r="G157" s="3" t="str">
        <f ca="1">IFERROR(__xludf.DUMMYFUNCTION("GOOGLETRANSLATE(A157,""en"",""it"")"),"Registro")</f>
        <v>Registro</v>
      </c>
      <c r="H157" s="3" t="str">
        <f ca="1">IFERROR(__xludf.DUMMYFUNCTION("GOOGLETRANSLATE(A157,""en"",""nl"")"),"Register")</f>
        <v>Register</v>
      </c>
      <c r="I157" s="3" t="str">
        <f ca="1">IFERROR(__xludf.DUMMYFUNCTION("GOOGLETRANSLATE(A157,""en"",""eu"")"),"Izena eman")</f>
        <v>Izena eman</v>
      </c>
      <c r="J157" s="3" t="str">
        <f ca="1">IFERROR(__xludf.DUMMYFUNCTION("GOOGLETRANSLATE(A157,""en"",""gl"")"),"Rexístrate")</f>
        <v>Rexístrate</v>
      </c>
      <c r="K157" s="3" t="str">
        <f ca="1">IFERROR(__xludf.DUMMYFUNCTION("GOOGLETRANSLATE(A157,""en"",""zh"")"),"登记")</f>
        <v>登记</v>
      </c>
    </row>
    <row r="158" spans="1:25" x14ac:dyDescent="0.2">
      <c r="A158" s="4" t="s">
        <v>167</v>
      </c>
      <c r="B158" s="3" t="str">
        <f t="shared" si="0"/>
        <v>Registration</v>
      </c>
      <c r="C158" s="3" t="str">
        <f ca="1">IFERROR(__xludf.DUMMYFUNCTION("GOOGLETRANSLATE(A158,""en"",""es"")"),"Registro")</f>
        <v>Registro</v>
      </c>
      <c r="D158" s="3" t="str">
        <f ca="1">IFERROR(__xludf.DUMMYFUNCTION("GOOGLETRANSLATE(A158,""en"",""ca"")"),"Inscripció")</f>
        <v>Inscripció</v>
      </c>
      <c r="E158" s="3" t="str">
        <f ca="1">IFERROR(__xludf.DUMMYFUNCTION("GOOGLETRANSLATE(A158,""en"",""fr"")"),"Inscription")</f>
        <v>Inscription</v>
      </c>
      <c r="F158" s="3" t="str">
        <f ca="1">IFERROR(__xludf.DUMMYFUNCTION("GOOGLETRANSLATE(A158,""en"",""de"")"),"Anmeldung")</f>
        <v>Anmeldung</v>
      </c>
      <c r="G158" s="3" t="str">
        <f ca="1">IFERROR(__xludf.DUMMYFUNCTION("GOOGLETRANSLATE(A158,""en"",""it"")"),"Registrazione")</f>
        <v>Registrazione</v>
      </c>
      <c r="H158" s="3" t="str">
        <f ca="1">IFERROR(__xludf.DUMMYFUNCTION("GOOGLETRANSLATE(A158,""en"",""nl"")"),"Registratie")</f>
        <v>Registratie</v>
      </c>
      <c r="I158" s="3" t="str">
        <f ca="1">IFERROR(__xludf.DUMMYFUNCTION("GOOGLETRANSLATE(A158,""en"",""eu"")"),"Izen ematea")</f>
        <v>Izen ematea</v>
      </c>
      <c r="J158" s="3" t="str">
        <f ca="1">IFERROR(__xludf.DUMMYFUNCTION("GOOGLETRANSLATE(A158,""en"",""gl"")"),"Inscrición")</f>
        <v>Inscrición</v>
      </c>
      <c r="K158" s="3" t="str">
        <f ca="1">IFERROR(__xludf.DUMMYFUNCTION("GOOGLETRANSLATE(A158,""en"",""zh"")"),"登记")</f>
        <v>登记</v>
      </c>
    </row>
    <row r="159" spans="1:25" x14ac:dyDescent="0.2">
      <c r="A159" s="4" t="s">
        <v>168</v>
      </c>
      <c r="B159" s="3" t="str">
        <f t="shared" si="0"/>
        <v>Remote</v>
      </c>
      <c r="C159" s="3" t="str">
        <f ca="1">IFERROR(__xludf.DUMMYFUNCTION("GOOGLETRANSLATE(A159,""en"",""es"")"),"Remoto")</f>
        <v>Remoto</v>
      </c>
      <c r="D159" s="3" t="str">
        <f ca="1">IFERROR(__xludf.DUMMYFUNCTION("GOOGLETRANSLATE(A159,""en"",""ca"")"),"Remot")</f>
        <v>Remot</v>
      </c>
      <c r="E159" s="3" t="str">
        <f ca="1">IFERROR(__xludf.DUMMYFUNCTION("GOOGLETRANSLATE(A159,""en"",""fr"")"),"Télécommande")</f>
        <v>Télécommande</v>
      </c>
      <c r="F159" s="3" t="str">
        <f ca="1">IFERROR(__xludf.DUMMYFUNCTION("GOOGLETRANSLATE(A159,""en"",""de"")"),"Fernbedienung")</f>
        <v>Fernbedienung</v>
      </c>
      <c r="G159" s="3" t="str">
        <f ca="1">IFERROR(__xludf.DUMMYFUNCTION("GOOGLETRANSLATE(A159,""en"",""it"")"),"Remoto")</f>
        <v>Remoto</v>
      </c>
      <c r="H159" s="3" t="str">
        <f ca="1">IFERROR(__xludf.DUMMYFUNCTION("GOOGLETRANSLATE(A159,""en"",""nl"")"),"Op afstand")</f>
        <v>Op afstand</v>
      </c>
      <c r="I159" s="3" t="str">
        <f ca="1">IFERROR(__xludf.DUMMYFUNCTION("GOOGLETRANSLATE(A159,""en"",""eu"")"),"Urrunekoa")</f>
        <v>Urrunekoa</v>
      </c>
      <c r="J159" s="3" t="str">
        <f ca="1">IFERROR(__xludf.DUMMYFUNCTION("GOOGLETRANSLATE(A159,""en"",""gl"")"),"Control remoto")</f>
        <v>Control remoto</v>
      </c>
      <c r="K159" s="3" t="str">
        <f ca="1">IFERROR(__xludf.DUMMYFUNCTION("GOOGLETRANSLATE(A159,""en"",""zh"")"),"偏僻的")</f>
        <v>偏僻的</v>
      </c>
    </row>
    <row r="160" spans="1:25" x14ac:dyDescent="0.2">
      <c r="A160" s="4" t="s">
        <v>169</v>
      </c>
      <c r="B160" s="3" t="str">
        <f t="shared" si="0"/>
        <v>Remote Procedures</v>
      </c>
      <c r="C160" s="3" t="str">
        <f ca="1">IFERROR(__xludf.DUMMYFUNCTION("GOOGLETRANSLATE(A160,""en"",""es"")"),"Trámites Remotos")</f>
        <v>Trámites Remotos</v>
      </c>
      <c r="D160" s="3" t="str">
        <f ca="1">IFERROR(__xludf.DUMMYFUNCTION("GOOGLETRANSLATE(A160,""en"",""ca"")"),"Tràmits a distància")</f>
        <v>Tràmits a distància</v>
      </c>
      <c r="E160" s="3" t="str">
        <f ca="1">IFERROR(__xludf.DUMMYFUNCTION("GOOGLETRANSLATE(A160,""en"",""fr"")"),"Procédures à distance")</f>
        <v>Procédures à distance</v>
      </c>
      <c r="F160" s="3" t="str">
        <f ca="1">IFERROR(__xludf.DUMMYFUNCTION("GOOGLETRANSLATE(A160,""en"",""de"")"),"Remote-Prozeduren")</f>
        <v>Remote-Prozeduren</v>
      </c>
      <c r="G160" s="3" t="str">
        <f ca="1">IFERROR(__xludf.DUMMYFUNCTION("GOOGLETRANSLATE(A160,""en"",""it"")"),"Procedure remote")</f>
        <v>Procedure remote</v>
      </c>
      <c r="H160" s="3" t="str">
        <f ca="1">IFERROR(__xludf.DUMMYFUNCTION("GOOGLETRANSLATE(A160,""en"",""nl"")"),"Procedures op afstand")</f>
        <v>Procedures op afstand</v>
      </c>
      <c r="I160" s="3" t="str">
        <f ca="1">IFERROR(__xludf.DUMMYFUNCTION("GOOGLETRANSLATE(A160,""en"",""eu"")"),"Urruneko prozedurak")</f>
        <v>Urruneko prozedurak</v>
      </c>
      <c r="J160" s="3" t="str">
        <f ca="1">IFERROR(__xludf.DUMMYFUNCTION("GOOGLETRANSLATE(A160,""en"",""gl"")"),"Procedementos a distancia")</f>
        <v>Procedementos a distancia</v>
      </c>
      <c r="K160" s="3" t="str">
        <f ca="1">IFERROR(__xludf.DUMMYFUNCTION("GOOGLETRANSLATE(A160,""en"",""zh"")"),"远程程序")</f>
        <v>远程程序</v>
      </c>
    </row>
    <row r="161" spans="1:11" x14ac:dyDescent="0.2">
      <c r="A161" s="4" t="s">
        <v>170</v>
      </c>
      <c r="B161" s="3" t="str">
        <f t="shared" si="0"/>
        <v>Reset Password</v>
      </c>
      <c r="C161" s="3" t="str">
        <f ca="1">IFERROR(__xludf.DUMMYFUNCTION("GOOGLETRANSLATE(A161,""en"",""es"")"),"Restablecer contraseña")</f>
        <v>Restablecer contraseña</v>
      </c>
      <c r="D161" s="3" t="str">
        <f ca="1">IFERROR(__xludf.DUMMYFUNCTION("GOOGLETRANSLATE(A161,""en"",""ca"")"),"Restableix la contrasenya")</f>
        <v>Restableix la contrasenya</v>
      </c>
      <c r="E161" s="3" t="str">
        <f ca="1">IFERROR(__xludf.DUMMYFUNCTION("GOOGLETRANSLATE(A161,""en"",""fr"")"),"Réinitialiser le mot de passe")</f>
        <v>Réinitialiser le mot de passe</v>
      </c>
      <c r="F161" s="3" t="str">
        <f ca="1">IFERROR(__xludf.DUMMYFUNCTION("GOOGLETRANSLATE(A161,""en"",""de"")"),"Passwort zurücksetzen")</f>
        <v>Passwort zurücksetzen</v>
      </c>
      <c r="G161" s="3" t="str">
        <f ca="1">IFERROR(__xludf.DUMMYFUNCTION("GOOGLETRANSLATE(A161,""en"",""it"")"),"Reimposta password")</f>
        <v>Reimposta password</v>
      </c>
      <c r="H161" s="3" t="str">
        <f ca="1">IFERROR(__xludf.DUMMYFUNCTION("GOOGLETRANSLATE(A161,""en"",""nl"")"),"Wachtwoord opnieuw instellen")</f>
        <v>Wachtwoord opnieuw instellen</v>
      </c>
      <c r="I161" s="3" t="str">
        <f ca="1">IFERROR(__xludf.DUMMYFUNCTION("GOOGLETRANSLATE(A161,""en"",""eu"")"),"Berrezarri pasahitza")</f>
        <v>Berrezarri pasahitza</v>
      </c>
      <c r="J161" s="3" t="str">
        <f ca="1">IFERROR(__xludf.DUMMYFUNCTION("GOOGLETRANSLATE(A161,""en"",""gl"")"),"Restablecer o contrasinal")</f>
        <v>Restablecer o contrasinal</v>
      </c>
      <c r="K161" s="3" t="str">
        <f ca="1">IFERROR(__xludf.DUMMYFUNCTION("GOOGLETRANSLATE(A161,""en"",""zh"")"),"重置密码")</f>
        <v>重置密码</v>
      </c>
    </row>
    <row r="162" spans="1:11" x14ac:dyDescent="0.2">
      <c r="A162" s="4" t="s">
        <v>171</v>
      </c>
      <c r="B162" s="3" t="str">
        <f t="shared" si="0"/>
        <v>Restore Tools</v>
      </c>
      <c r="C162" s="3" t="str">
        <f ca="1">IFERROR(__xludf.DUMMYFUNCTION("GOOGLETRANSLATE(A162,""en"",""es"")"),"Restaurar herramientas")</f>
        <v>Restaurar herramientas</v>
      </c>
      <c r="D162" s="3" t="str">
        <f ca="1">IFERROR(__xludf.DUMMYFUNCTION("GOOGLETRANSLATE(A162,""en"",""ca"")"),"Eines de restauració")</f>
        <v>Eines de restauració</v>
      </c>
      <c r="E162" s="3" t="str">
        <f ca="1">IFERROR(__xludf.DUMMYFUNCTION("GOOGLETRANSLATE(A162,""en"",""fr"")"),"Outils de restauration")</f>
        <v>Outils de restauration</v>
      </c>
      <c r="F162" s="3" t="str">
        <f ca="1">IFERROR(__xludf.DUMMYFUNCTION("GOOGLETRANSLATE(A162,""en"",""de"")"),"Tools wiederherstellen")</f>
        <v>Tools wiederherstellen</v>
      </c>
      <c r="G162" s="3" t="str">
        <f ca="1">IFERROR(__xludf.DUMMYFUNCTION("GOOGLETRANSLATE(A162,""en"",""it"")"),"Strumenti di ripristino")</f>
        <v>Strumenti di ripristino</v>
      </c>
      <c r="H162" s="3" t="str">
        <f ca="1">IFERROR(__xludf.DUMMYFUNCTION("GOOGLETRANSLATE(A162,""en"",""nl"")"),"Hulpprogramma's herstellen")</f>
        <v>Hulpprogramma's herstellen</v>
      </c>
      <c r="I162" s="3" t="str">
        <f ca="1">IFERROR(__xludf.DUMMYFUNCTION("GOOGLETRANSLATE(A162,""en"",""eu"")"),"Berreskuratu Tresnak")</f>
        <v>Berreskuratu Tresnak</v>
      </c>
      <c r="J162" s="3" t="str">
        <f ca="1">IFERROR(__xludf.DUMMYFUNCTION("GOOGLETRANSLATE(A162,""en"",""gl"")"),"Ferramentas de restauración")</f>
        <v>Ferramentas de restauración</v>
      </c>
      <c r="K162" s="3" t="str">
        <f ca="1">IFERROR(__xludf.DUMMYFUNCTION("GOOGLETRANSLATE(A162,""en"",""zh"")"),"恢复工具")</f>
        <v>恢复工具</v>
      </c>
    </row>
    <row r="163" spans="1:11" x14ac:dyDescent="0.2">
      <c r="A163" s="4" t="s">
        <v>172</v>
      </c>
      <c r="B163" s="3" t="str">
        <f t="shared" si="0"/>
        <v>Results</v>
      </c>
      <c r="C163" s="3" t="str">
        <f ca="1">IFERROR(__xludf.DUMMYFUNCTION("GOOGLETRANSLATE(A163,""en"",""es"")"),"Resultados")</f>
        <v>Resultados</v>
      </c>
      <c r="D163" s="3" t="str">
        <f ca="1">IFERROR(__xludf.DUMMYFUNCTION("GOOGLETRANSLATE(A163,""en"",""ca"")"),"Resultats")</f>
        <v>Resultats</v>
      </c>
      <c r="E163" s="3" t="str">
        <f ca="1">IFERROR(__xludf.DUMMYFUNCTION("GOOGLETRANSLATE(A163,""en"",""fr"")"),"Résultats")</f>
        <v>Résultats</v>
      </c>
      <c r="F163" s="3" t="str">
        <f ca="1">IFERROR(__xludf.DUMMYFUNCTION("GOOGLETRANSLATE(A163,""en"",""de"")"),"Ergebnisse")</f>
        <v>Ergebnisse</v>
      </c>
      <c r="G163" s="3" t="str">
        <f ca="1">IFERROR(__xludf.DUMMYFUNCTION("GOOGLETRANSLATE(A163,""en"",""it"")"),"Risultati")</f>
        <v>Risultati</v>
      </c>
      <c r="H163" s="3" t="str">
        <f ca="1">IFERROR(__xludf.DUMMYFUNCTION("GOOGLETRANSLATE(A163,""en"",""nl"")"),"Resultaten")</f>
        <v>Resultaten</v>
      </c>
      <c r="I163" s="3" t="str">
        <f ca="1">IFERROR(__xludf.DUMMYFUNCTION("GOOGLETRANSLATE(A163,""en"",""eu"")"),"Emaitzak")</f>
        <v>Emaitzak</v>
      </c>
      <c r="J163" s="3" t="str">
        <f ca="1">IFERROR(__xludf.DUMMYFUNCTION("GOOGLETRANSLATE(A163,""en"",""gl"")"),"Resultados")</f>
        <v>Resultados</v>
      </c>
      <c r="K163" s="3" t="str">
        <f ca="1">IFERROR(__xludf.DUMMYFUNCTION("GOOGLETRANSLATE(A163,""en"",""zh"")"),"结果")</f>
        <v>结果</v>
      </c>
    </row>
    <row r="164" spans="1:11" x14ac:dyDescent="0.2">
      <c r="A164" s="4" t="s">
        <v>173</v>
      </c>
      <c r="B164" s="3" t="str">
        <f t="shared" si="0"/>
        <v>Save/Upload</v>
      </c>
      <c r="C164" s="3" t="str">
        <f ca="1">IFERROR(__xludf.DUMMYFUNCTION("GOOGLETRANSLATE(A164,""en"",""es"")"),"Guardar/Cargar")</f>
        <v>Guardar/Cargar</v>
      </c>
      <c r="D164" s="3" t="str">
        <f ca="1">IFERROR(__xludf.DUMMYFUNCTION("GOOGLETRANSLATE(A164,""en"",""ca"")"),"Desa/Penja")</f>
        <v>Desa/Penja</v>
      </c>
      <c r="E164" s="3" t="str">
        <f ca="1">IFERROR(__xludf.DUMMYFUNCTION("GOOGLETRANSLATE(A164,""en"",""fr"")"),"Enregistrer/Télécharger")</f>
        <v>Enregistrer/Télécharger</v>
      </c>
      <c r="F164" s="3" t="str">
        <f ca="1">IFERROR(__xludf.DUMMYFUNCTION("GOOGLETRANSLATE(A164,""en"",""de"")"),"Speichern/Hochladen")</f>
        <v>Speichern/Hochladen</v>
      </c>
      <c r="G164" s="3" t="str">
        <f ca="1">IFERROR(__xludf.DUMMYFUNCTION("GOOGLETRANSLATE(A164,""en"",""it"")"),"Salva/Carica")</f>
        <v>Salva/Carica</v>
      </c>
      <c r="H164" s="3" t="str">
        <f ca="1">IFERROR(__xludf.DUMMYFUNCTION("GOOGLETRANSLATE(A164,""en"",""nl"")"),"Opslaan/uploaden")</f>
        <v>Opslaan/uploaden</v>
      </c>
      <c r="I164" s="3" t="str">
        <f ca="1">IFERROR(__xludf.DUMMYFUNCTION("GOOGLETRANSLATE(A164,""en"",""eu"")"),"Gorde/Kargatu")</f>
        <v>Gorde/Kargatu</v>
      </c>
      <c r="J164" s="3" t="str">
        <f ca="1">IFERROR(__xludf.DUMMYFUNCTION("GOOGLETRANSLATE(A164,""en"",""gl"")"),"Gardar/Cargar")</f>
        <v>Gardar/Cargar</v>
      </c>
      <c r="K164" s="3" t="str">
        <f ca="1">IFERROR(__xludf.DUMMYFUNCTION("GOOGLETRANSLATE(A164,""en"",""zh"")"),"保存/上传")</f>
        <v>保存/上传</v>
      </c>
    </row>
    <row r="165" spans="1:11" x14ac:dyDescent="0.2">
      <c r="A165" s="4" t="s">
        <v>174</v>
      </c>
      <c r="B165" s="3" t="str">
        <f t="shared" si="0"/>
        <v>Search</v>
      </c>
      <c r="C165" s="3" t="str">
        <f ca="1">IFERROR(__xludf.DUMMYFUNCTION("GOOGLETRANSLATE(A165,""en"",""es"")"),"Buscar")</f>
        <v>Buscar</v>
      </c>
      <c r="D165" s="3" t="str">
        <f ca="1">IFERROR(__xludf.DUMMYFUNCTION("GOOGLETRANSLATE(A165,""en"",""ca"")"),"Cerca")</f>
        <v>Cerca</v>
      </c>
      <c r="E165" s="3" t="str">
        <f ca="1">IFERROR(__xludf.DUMMYFUNCTION("GOOGLETRANSLATE(A165,""en"",""fr"")"),"Recherche")</f>
        <v>Recherche</v>
      </c>
      <c r="F165" s="3" t="str">
        <f ca="1">IFERROR(__xludf.DUMMYFUNCTION("GOOGLETRANSLATE(A165,""en"",""de"")"),"Suchen")</f>
        <v>Suchen</v>
      </c>
      <c r="G165" s="3" t="str">
        <f ca="1">IFERROR(__xludf.DUMMYFUNCTION("GOOGLETRANSLATE(A165,""en"",""it"")"),"Ricerca")</f>
        <v>Ricerca</v>
      </c>
      <c r="H165" s="3" t="str">
        <f ca="1">IFERROR(__xludf.DUMMYFUNCTION("GOOGLETRANSLATE(A165,""en"",""nl"")"),"Zoekopdracht")</f>
        <v>Zoekopdracht</v>
      </c>
      <c r="I165" s="3" t="str">
        <f ca="1">IFERROR(__xludf.DUMMYFUNCTION("GOOGLETRANSLATE(A165,""en"",""eu"")"),"Bilatu")</f>
        <v>Bilatu</v>
      </c>
      <c r="J165" s="3" t="str">
        <f ca="1">IFERROR(__xludf.DUMMYFUNCTION("GOOGLETRANSLATE(A165,""en"",""gl"")"),"Busca")</f>
        <v>Busca</v>
      </c>
      <c r="K165" s="3" t="str">
        <f ca="1">IFERROR(__xludf.DUMMYFUNCTION("GOOGLETRANSLATE(A165,""en"",""zh"")"),"搜索")</f>
        <v>搜索</v>
      </c>
    </row>
    <row r="166" spans="1:11" x14ac:dyDescent="0.2">
      <c r="A166" s="4" t="s">
        <v>175</v>
      </c>
      <c r="B166" s="3" t="str">
        <f t="shared" si="0"/>
        <v>Search All Makes</v>
      </c>
      <c r="C166" s="3" t="str">
        <f ca="1">IFERROR(__xludf.DUMMYFUNCTION("GOOGLETRANSLATE(A166,""en"",""es"")"),"Buscar todas las marcas")</f>
        <v>Buscar todas las marcas</v>
      </c>
      <c r="D166" s="3" t="str">
        <f ca="1">IFERROR(__xludf.DUMMYFUNCTION("GOOGLETRANSLATE(A166,""en"",""ca"")"),"Cerca totes les marques")</f>
        <v>Cerca totes les marques</v>
      </c>
      <c r="E166" s="3" t="str">
        <f ca="1">IFERROR(__xludf.DUMMYFUNCTION("GOOGLETRANSLATE(A166,""en"",""fr"")"),"Rechercher toutes les marques")</f>
        <v>Rechercher toutes les marques</v>
      </c>
      <c r="F166" s="3" t="str">
        <f ca="1">IFERROR(__xludf.DUMMYFUNCTION("GOOGLETRANSLATE(A166,""en"",""de"")"),"Alle Marken durchsuchen")</f>
        <v>Alle Marken durchsuchen</v>
      </c>
      <c r="G166" s="3" t="str">
        <f ca="1">IFERROR(__xludf.DUMMYFUNCTION("GOOGLETRANSLATE(A166,""en"",""it"")"),"Cerca tutte le marche")</f>
        <v>Cerca tutte le marche</v>
      </c>
      <c r="H166" s="3" t="str">
        <f ca="1">IFERROR(__xludf.DUMMYFUNCTION("GOOGLETRANSLATE(A166,""en"",""nl"")"),"Zoek in alle merken")</f>
        <v>Zoek in alle merken</v>
      </c>
      <c r="I166" s="3" t="str">
        <f ca="1">IFERROR(__xludf.DUMMYFUNCTION("GOOGLETRANSLATE(A166,""en"",""eu"")"),"Bilatu marka guztiak")</f>
        <v>Bilatu marka guztiak</v>
      </c>
      <c r="J166" s="3" t="str">
        <f ca="1">IFERROR(__xludf.DUMMYFUNCTION("GOOGLETRANSLATE(A166,""en"",""gl"")"),"Busca todas as marcas")</f>
        <v>Busca todas as marcas</v>
      </c>
      <c r="K166" s="3" t="str">
        <f ca="1">IFERROR(__xludf.DUMMYFUNCTION("GOOGLETRANSLATE(A166,""en"",""zh"")"),"搜索所有品牌")</f>
        <v>搜索所有品牌</v>
      </c>
    </row>
    <row r="167" spans="1:11" x14ac:dyDescent="0.2">
      <c r="A167" s="4" t="s">
        <v>176</v>
      </c>
      <c r="B167" s="3" t="str">
        <f t="shared" si="0"/>
        <v>Search Code</v>
      </c>
      <c r="C167" s="3" t="str">
        <f ca="1">IFERROR(__xludf.DUMMYFUNCTION("GOOGLETRANSLATE(A167,""en"",""es"")"),"Código de búsqueda")</f>
        <v>Código de búsqueda</v>
      </c>
      <c r="D167" s="3" t="str">
        <f ca="1">IFERROR(__xludf.DUMMYFUNCTION("GOOGLETRANSLATE(A167,""en"",""ca"")"),"Codi de cerca")</f>
        <v>Codi de cerca</v>
      </c>
      <c r="E167" s="3" t="str">
        <f ca="1">IFERROR(__xludf.DUMMYFUNCTION("GOOGLETRANSLATE(A167,""en"",""fr"")"),"Code de recherche")</f>
        <v>Code de recherche</v>
      </c>
      <c r="F167" s="3" t="str">
        <f ca="1">IFERROR(__xludf.DUMMYFUNCTION("GOOGLETRANSLATE(A167,""en"",""de"")"),"Suchcode")</f>
        <v>Suchcode</v>
      </c>
      <c r="G167" s="3" t="str">
        <f ca="1">IFERROR(__xludf.DUMMYFUNCTION("GOOGLETRANSLATE(A167,""en"",""it"")"),"Cerca codice")</f>
        <v>Cerca codice</v>
      </c>
      <c r="H167" s="3" t="str">
        <f ca="1">IFERROR(__xludf.DUMMYFUNCTION("GOOGLETRANSLATE(A167,""en"",""nl"")"),"Zoekcode")</f>
        <v>Zoekcode</v>
      </c>
      <c r="I167" s="3" t="str">
        <f ca="1">IFERROR(__xludf.DUMMYFUNCTION("GOOGLETRANSLATE(A167,""en"",""eu"")"),"Bilaketa kodea")</f>
        <v>Bilaketa kodea</v>
      </c>
      <c r="J167" s="3" t="str">
        <f ca="1">IFERROR(__xludf.DUMMYFUNCTION("GOOGLETRANSLATE(A167,""en"",""gl"")"),"Código de busca")</f>
        <v>Código de busca</v>
      </c>
      <c r="K167" s="3" t="str">
        <f ca="1">IFERROR(__xludf.DUMMYFUNCTION("GOOGLETRANSLATE(A167,""en"",""zh"")"),"搜寻码")</f>
        <v>搜寻码</v>
      </c>
    </row>
    <row r="168" spans="1:11" x14ac:dyDescent="0.2">
      <c r="A168" s="4" t="s">
        <v>177</v>
      </c>
      <c r="B168" s="3" t="str">
        <f t="shared" si="0"/>
        <v>Search Make/Keyway</v>
      </c>
      <c r="C168" s="3" t="str">
        <f ca="1">IFERROR(__xludf.DUMMYFUNCTION("GOOGLETRANSLATE(A168,""en"",""es"")"),"Buscar marca/chavetero")</f>
        <v>Buscar marca/chavetero</v>
      </c>
      <c r="D168" s="3" t="str">
        <f ca="1">IFERROR(__xludf.DUMMYFUNCTION("GOOGLETRANSLATE(A168,""en"",""ca"")"),"Cerca Marca/Claudia")</f>
        <v>Cerca Marca/Claudia</v>
      </c>
      <c r="E168" s="3" t="str">
        <f ca="1">IFERROR(__xludf.DUMMYFUNCTION("GOOGLETRANSLATE(A168,""en"",""fr"")"),"Rechercher une marque/une rainure de clavette")</f>
        <v>Rechercher une marque/une rainure de clavette</v>
      </c>
      <c r="F168" s="3" t="str">
        <f ca="1">IFERROR(__xludf.DUMMYFUNCTION("GOOGLETRANSLATE(A168,""en"",""de"")"),"Suchen Sie nach Marke/Keilnut")</f>
        <v>Suchen Sie nach Marke/Keilnut</v>
      </c>
      <c r="G168" s="3" t="str">
        <f ca="1">IFERROR(__xludf.DUMMYFUNCTION("GOOGLETRANSLATE(A168,""en"",""it"")"),"Cerca marca/sede per chiavetta")</f>
        <v>Cerca marca/sede per chiavetta</v>
      </c>
      <c r="H168" s="3" t="str">
        <f ca="1">IFERROR(__xludf.DUMMYFUNCTION("GOOGLETRANSLATE(A168,""en"",""nl"")"),"Zoek op merk/sleutelgat")</f>
        <v>Zoek op merk/sleutelgat</v>
      </c>
      <c r="I168" s="3" t="str">
        <f ca="1">IFERROR(__xludf.DUMMYFUNCTION("GOOGLETRANSLATE(A168,""en"",""eu"")"),"Bilatu Make/Keyway")</f>
        <v>Bilatu Make/Keyway</v>
      </c>
      <c r="J168" s="3" t="str">
        <f ca="1">IFERROR(__xludf.DUMMYFUNCTION("GOOGLETRANSLATE(A168,""en"",""gl"")"),"Buscar Marca/Chaveiro")</f>
        <v>Buscar Marca/Chaveiro</v>
      </c>
      <c r="K168" s="3" t="str">
        <f ca="1">IFERROR(__xludf.DUMMYFUNCTION("GOOGLETRANSLATE(A168,""en"",""zh"")"),"搜索品牌/键槽")</f>
        <v>搜索品牌/键槽</v>
      </c>
    </row>
    <row r="169" spans="1:11" x14ac:dyDescent="0.2">
      <c r="A169" s="4" t="s">
        <v>178</v>
      </c>
      <c r="B169" s="3" t="str">
        <f t="shared" si="0"/>
        <v>Search to ID vehicle</v>
      </c>
      <c r="C169" s="3" t="str">
        <f ca="1">IFERROR(__xludf.DUMMYFUNCTION("GOOGLETRANSLATE(A169,""en"",""es"")"),"Buscar para identificar el vehículo")</f>
        <v>Buscar para identificar el vehículo</v>
      </c>
      <c r="D169" s="3" t="str">
        <f ca="1">IFERROR(__xludf.DUMMYFUNCTION("GOOGLETRANSLATE(A169,""en"",""ca"")"),"Cerca al vehicle d'identificació")</f>
        <v>Cerca al vehicle d'identificació</v>
      </c>
      <c r="E169" s="3" t="str">
        <f ca="1">IFERROR(__xludf.DUMMYFUNCTION("GOOGLETRANSLATE(A169,""en"",""fr"")"),"Rechercher pour identifier le véhicule")</f>
        <v>Rechercher pour identifier le véhicule</v>
      </c>
      <c r="F169" s="3" t="str">
        <f ca="1">IFERROR(__xludf.DUMMYFUNCTION("GOOGLETRANSLATE(A169,""en"",""de"")"),"Suchen Sie, um das Fahrzeug zu identifizieren")</f>
        <v>Suchen Sie, um das Fahrzeug zu identifizieren</v>
      </c>
      <c r="G169" s="3" t="str">
        <f ca="1">IFERROR(__xludf.DUMMYFUNCTION("GOOGLETRANSLATE(A169,""en"",""it"")"),"Cerca per identificare il veicolo")</f>
        <v>Cerca per identificare il veicolo</v>
      </c>
      <c r="H169" s="3" t="str">
        <f ca="1">IFERROR(__xludf.DUMMYFUNCTION("GOOGLETRANSLATE(A169,""en"",""nl"")"),"Zoek naar ID-voertuig")</f>
        <v>Zoek naar ID-voertuig</v>
      </c>
      <c r="I169" s="3" t="str">
        <f ca="1">IFERROR(__xludf.DUMMYFUNCTION("GOOGLETRANSLATE(A169,""en"",""eu"")"),"Bilatu NAN ibilgailuan")</f>
        <v>Bilatu NAN ibilgailuan</v>
      </c>
      <c r="J169" s="3" t="str">
        <f ca="1">IFERROR(__xludf.DUMMYFUNCTION("GOOGLETRANSLATE(A169,""en"",""gl"")"),"Busca no vehículo de identificación")</f>
        <v>Busca no vehículo de identificación</v>
      </c>
      <c r="K169" s="3" t="str">
        <f ca="1">IFERROR(__xludf.DUMMYFUNCTION("GOOGLETRANSLATE(A169,""en"",""zh"")"),"搜索车辆 ID")</f>
        <v>搜索车辆 ID</v>
      </c>
    </row>
    <row r="170" spans="1:11" x14ac:dyDescent="0.2">
      <c r="A170" s="4" t="s">
        <v>179</v>
      </c>
      <c r="B170" s="3" t="str">
        <f t="shared" si="0"/>
        <v>Select the remote you used at the top of the screen</v>
      </c>
      <c r="C170" s="3" t="str">
        <f ca="1">IFERROR(__xludf.DUMMYFUNCTION("GOOGLETRANSLATE(A170,""en"",""es"")"),"Seleccione el control remoto que utilizó en la parte superior de la pantalla")</f>
        <v>Seleccione el control remoto que utilizó en la parte superior de la pantalla</v>
      </c>
      <c r="D170" s="3" t="str">
        <f ca="1">IFERROR(__xludf.DUMMYFUNCTION("GOOGLETRANSLATE(A170,""en"",""ca"")"),"Seleccioneu el comandament a distància que heu utilitzat a la part superior de la pantalla")</f>
        <v>Seleccioneu el comandament a distància que heu utilitzat a la part superior de la pantalla</v>
      </c>
      <c r="E170" s="3" t="str">
        <f ca="1">IFERROR(__xludf.DUMMYFUNCTION("GOOGLETRANSLATE(A170,""en"",""fr"")"),"Sélectionnez la télécommande que vous avez utilisée en haut de l'écran")</f>
        <v>Sélectionnez la télécommande que vous avez utilisée en haut de l'écran</v>
      </c>
      <c r="F170" s="3" t="str">
        <f ca="1">IFERROR(__xludf.DUMMYFUNCTION("GOOGLETRANSLATE(A170,""en"",""de"")"),"Wählen Sie oben auf dem Bildschirm die Fernbedienung aus, die Sie verwendet haben")</f>
        <v>Wählen Sie oben auf dem Bildschirm die Fernbedienung aus, die Sie verwendet haben</v>
      </c>
      <c r="G170" s="3" t="str">
        <f ca="1">IFERROR(__xludf.DUMMYFUNCTION("GOOGLETRANSLATE(A170,""en"",""it"")"),"Seleziona il telecomando che hai utilizzato nella parte superiore dello schermo")</f>
        <v>Seleziona il telecomando che hai utilizzato nella parte superiore dello schermo</v>
      </c>
      <c r="H170" s="3" t="str">
        <f ca="1">IFERROR(__xludf.DUMMYFUNCTION("GOOGLETRANSLATE(A170,""en"",""nl"")"),"Selecteer bovenaan het scherm de afstandsbediening die u hebt gebruikt")</f>
        <v>Selecteer bovenaan het scherm de afstandsbediening die u hebt gebruikt</v>
      </c>
      <c r="I170" s="3" t="str">
        <f ca="1">IFERROR(__xludf.DUMMYFUNCTION("GOOGLETRANSLATE(A170,""en"",""eu"")"),"Hautatu erabili duzun urruneko urruneko pantailaren goialdean")</f>
        <v>Hautatu erabili duzun urruneko urruneko pantailaren goialdean</v>
      </c>
      <c r="J170" s="3" t="str">
        <f ca="1">IFERROR(__xludf.DUMMYFUNCTION("GOOGLETRANSLATE(A170,""en"",""gl"")"),"Selecciona o control remoto que utilizaches na parte superior da pantalla")</f>
        <v>Selecciona o control remoto que utilizaches na parte superior da pantalla</v>
      </c>
      <c r="K170" s="3" t="str">
        <f ca="1">IFERROR(__xludf.DUMMYFUNCTION("GOOGLETRANSLATE(A170,""en"",""zh"")"),"在屏幕顶部选择您使用的遥控器")</f>
        <v>在屏幕顶部选择您使用的遥控器</v>
      </c>
    </row>
    <row r="171" spans="1:11" x14ac:dyDescent="0.2">
      <c r="A171" s="4" t="s">
        <v>180</v>
      </c>
      <c r="B171" s="3" t="str">
        <f t="shared" si="0"/>
        <v>Settings</v>
      </c>
      <c r="C171" s="3" t="str">
        <f ca="1">IFERROR(__xludf.DUMMYFUNCTION("GOOGLETRANSLATE(A171,""en"",""es"")"),"Ajustes")</f>
        <v>Ajustes</v>
      </c>
      <c r="D171" s="3" t="str">
        <f ca="1">IFERROR(__xludf.DUMMYFUNCTION("GOOGLETRANSLATE(A171,""en"",""ca"")"),"Configuració")</f>
        <v>Configuració</v>
      </c>
      <c r="E171" s="3" t="str">
        <f ca="1">IFERROR(__xludf.DUMMYFUNCTION("GOOGLETRANSLATE(A171,""en"",""fr"")"),"Paramètres")</f>
        <v>Paramètres</v>
      </c>
      <c r="F171" s="3" t="str">
        <f ca="1">IFERROR(__xludf.DUMMYFUNCTION("GOOGLETRANSLATE(A171,""en"",""de"")"),"Einstellungen")</f>
        <v>Einstellungen</v>
      </c>
      <c r="G171" s="3" t="str">
        <f ca="1">IFERROR(__xludf.DUMMYFUNCTION("GOOGLETRANSLATE(A171,""en"",""it"")"),"Impostazioni")</f>
        <v>Impostazioni</v>
      </c>
      <c r="H171" s="3" t="str">
        <f ca="1">IFERROR(__xludf.DUMMYFUNCTION("GOOGLETRANSLATE(A171,""en"",""nl"")"),"Instellingen")</f>
        <v>Instellingen</v>
      </c>
      <c r="I171" s="3" t="str">
        <f ca="1">IFERROR(__xludf.DUMMYFUNCTION("GOOGLETRANSLATE(A171,""en"",""eu"")"),"Ezarpenak")</f>
        <v>Ezarpenak</v>
      </c>
      <c r="J171" s="3" t="str">
        <f ca="1">IFERROR(__xludf.DUMMYFUNCTION("GOOGLETRANSLATE(A171,""en"",""gl"")"),"Configuración")</f>
        <v>Configuración</v>
      </c>
      <c r="K171" s="3" t="str">
        <f ca="1">IFERROR(__xludf.DUMMYFUNCTION("GOOGLETRANSLATE(A171,""en"",""zh"")"),"设置")</f>
        <v>设置</v>
      </c>
    </row>
    <row r="172" spans="1:11" x14ac:dyDescent="0.2">
      <c r="A172" s="4" t="s">
        <v>181</v>
      </c>
      <c r="B172" s="3" t="str">
        <f t="shared" si="0"/>
        <v>Server Not Found</v>
      </c>
      <c r="C172" s="3" t="str">
        <f ca="1">IFERROR(__xludf.DUMMYFUNCTION("GOOGLETRANSLATE(A172,""en"",""es"")"),"Servidor no encontrado")</f>
        <v>Servidor no encontrado</v>
      </c>
      <c r="D172" s="3" t="str">
        <f ca="1">IFERROR(__xludf.DUMMYFUNCTION("GOOGLETRANSLATE(A172,""en"",""ca"")"),"No s'ha trobat el servidor")</f>
        <v>No s'ha trobat el servidor</v>
      </c>
      <c r="E172" s="3" t="str">
        <f ca="1">IFERROR(__xludf.DUMMYFUNCTION("GOOGLETRANSLATE(A172,""en"",""fr"")"),"Serveur introuvable")</f>
        <v>Serveur introuvable</v>
      </c>
      <c r="F172" s="3" t="str">
        <f ca="1">IFERROR(__xludf.DUMMYFUNCTION("GOOGLETRANSLATE(A172,""en"",""de"")"),"Server nicht gefunden")</f>
        <v>Server nicht gefunden</v>
      </c>
      <c r="G172" s="3" t="str">
        <f ca="1">IFERROR(__xludf.DUMMYFUNCTION("GOOGLETRANSLATE(A172,""en"",""it"")"),"Server non trovato")</f>
        <v>Server non trovato</v>
      </c>
      <c r="H172" s="3" t="str">
        <f ca="1">IFERROR(__xludf.DUMMYFUNCTION("GOOGLETRANSLATE(A172,""en"",""nl"")"),"Server niet gevonden")</f>
        <v>Server niet gevonden</v>
      </c>
      <c r="I172" s="3" t="str">
        <f ca="1">IFERROR(__xludf.DUMMYFUNCTION("GOOGLETRANSLATE(A172,""en"",""eu"")"),"Ez da zerbitzaria aurkitu")</f>
        <v>Ez da zerbitzaria aurkitu</v>
      </c>
      <c r="J172" s="3" t="str">
        <f ca="1">IFERROR(__xludf.DUMMYFUNCTION("GOOGLETRANSLATE(A172,""en"",""gl"")"),"Non se atopou o servidor")</f>
        <v>Non se atopou o servidor</v>
      </c>
      <c r="K172" s="3" t="str">
        <f ca="1">IFERROR(__xludf.DUMMYFUNCTION("GOOGLETRANSLATE(A172,""en"",""zh"")"),"找不到服务器")</f>
        <v>找不到服务器</v>
      </c>
    </row>
    <row r="173" spans="1:11" x14ac:dyDescent="0.2">
      <c r="A173" s="4" t="s">
        <v>182</v>
      </c>
      <c r="B173" s="3" t="str">
        <f t="shared" si="0"/>
        <v>Start Type</v>
      </c>
      <c r="C173" s="3" t="str">
        <f ca="1">IFERROR(__xludf.DUMMYFUNCTION("GOOGLETRANSLATE(A173,""en"",""es"")"),"Tipo de inicio")</f>
        <v>Tipo de inicio</v>
      </c>
      <c r="D173" s="3" t="str">
        <f ca="1">IFERROR(__xludf.DUMMYFUNCTION("GOOGLETRANSLATE(A173,""en"",""ca"")"),"Tipus d'inici")</f>
        <v>Tipus d'inici</v>
      </c>
      <c r="E173" s="3" t="str">
        <f ca="1">IFERROR(__xludf.DUMMYFUNCTION("GOOGLETRANSLATE(A173,""en"",""fr"")"),"Type de démarrage")</f>
        <v>Type de démarrage</v>
      </c>
      <c r="F173" s="3" t="str">
        <f ca="1">IFERROR(__xludf.DUMMYFUNCTION("GOOGLETRANSLATE(A173,""en"",""de"")"),"Starttyp")</f>
        <v>Starttyp</v>
      </c>
      <c r="G173" s="3" t="str">
        <f ca="1">IFERROR(__xludf.DUMMYFUNCTION("GOOGLETRANSLATE(A173,""en"",""it"")"),"Inizia tipo")</f>
        <v>Inizia tipo</v>
      </c>
      <c r="H173" s="3" t="str">
        <f ca="1">IFERROR(__xludf.DUMMYFUNCTION("GOOGLETRANSLATE(A173,""en"",""nl"")"),"Begintype")</f>
        <v>Begintype</v>
      </c>
      <c r="I173" s="3" t="str">
        <f ca="1">IFERROR(__xludf.DUMMYFUNCTION("GOOGLETRANSLATE(A173,""en"",""eu"")"),"Hasi mota")</f>
        <v>Hasi mota</v>
      </c>
      <c r="J173" s="3" t="str">
        <f ca="1">IFERROR(__xludf.DUMMYFUNCTION("GOOGLETRANSLATE(A173,""en"",""gl"")"),"Tipo de inicio")</f>
        <v>Tipo de inicio</v>
      </c>
      <c r="K173" s="3" t="str">
        <f ca="1">IFERROR(__xludf.DUMMYFUNCTION("GOOGLETRANSLATE(A173,""en"",""zh"")"),"启动类型")</f>
        <v>启动类型</v>
      </c>
    </row>
    <row r="174" spans="1:11" x14ac:dyDescent="0.2">
      <c r="A174" s="4" t="s">
        <v>183</v>
      </c>
      <c r="B174" s="3" t="str">
        <f t="shared" si="0"/>
        <v>Sorry you have not registered or signed in properly</v>
      </c>
      <c r="C174" s="3" t="str">
        <f ca="1">IFERROR(__xludf.DUMMYFUNCTION("GOOGLETRANSLATE(A174,""en"",""es"")"),"Lo sentimos, no te has registrado o no has iniciado sesión correctamente.")</f>
        <v>Lo sentimos, no te has registrado o no has iniciado sesión correctamente.</v>
      </c>
      <c r="D174" s="3" t="str">
        <f ca="1">IFERROR(__xludf.DUMMYFUNCTION("GOOGLETRANSLATE(A174,""en"",""ca"")"),"Ho sentim, no us heu registrat o no heu iniciat sessió correctament")</f>
        <v>Ho sentim, no us heu registrat o no heu iniciat sessió correctament</v>
      </c>
      <c r="E174" s="3" t="str">
        <f ca="1">IFERROR(__xludf.DUMMYFUNCTION("GOOGLETRANSLATE(A174,""en"",""fr"")"),"Désolé, vous ne vous êtes pas inscrit ou connecté correctement")</f>
        <v>Désolé, vous ne vous êtes pas inscrit ou connecté correctement</v>
      </c>
      <c r="F174" s="3" t="str">
        <f ca="1">IFERROR(__xludf.DUMMYFUNCTION("GOOGLETRANSLATE(A174,""en"",""de"")"),"Es tut uns leid, dass Sie sich nicht ordnungsgemäß registriert oder angemeldet haben")</f>
        <v>Es tut uns leid, dass Sie sich nicht ordnungsgemäß registriert oder angemeldet haben</v>
      </c>
      <c r="G174" s="3" t="str">
        <f ca="1">IFERROR(__xludf.DUMMYFUNCTION("GOOGLETRANSLATE(A174,""en"",""it"")"),"Siamo spiacenti, non ti sei registrato o non hai effettuato l'accesso correttamente")</f>
        <v>Siamo spiacenti, non ti sei registrato o non hai effettuato l'accesso correttamente</v>
      </c>
      <c r="H174" s="3" t="str">
        <f ca="1">IFERROR(__xludf.DUMMYFUNCTION("GOOGLETRANSLATE(A174,""en"",""nl"")"),"Sorry dat u zich niet correct heeft geregistreerd of aangemeld")</f>
        <v>Sorry dat u zich niet correct heeft geregistreerd of aangemeld</v>
      </c>
      <c r="I174" s="3" t="str">
        <f ca="1">IFERROR(__xludf.DUMMYFUNCTION("GOOGLETRANSLATE(A174,""en"",""eu"")"),"Sentitzen dugu ez duzula behar bezala erregistratu edo saioa hasi")</f>
        <v>Sentitzen dugu ez duzula behar bezala erregistratu edo saioa hasi</v>
      </c>
      <c r="J174" s="3" t="str">
        <f ca="1">IFERROR(__xludf.DUMMYFUNCTION("GOOGLETRANSLATE(A174,""en"",""gl"")"),"Sentímolo, non te rexistrastes nin iniciaches sesión correctamente")</f>
        <v>Sentímolo, non te rexistrastes nin iniciaches sesión correctamente</v>
      </c>
      <c r="K174" s="3" t="str">
        <f ca="1">IFERROR(__xludf.DUMMYFUNCTION("GOOGLETRANSLATE(A174,""en"",""zh"")"),"抱歉您没有正确注册或登录")</f>
        <v>抱歉您没有正确注册或登录</v>
      </c>
    </row>
    <row r="175" spans="1:11" x14ac:dyDescent="0.2">
      <c r="A175" s="4" t="s">
        <v>184</v>
      </c>
      <c r="B175" s="3" t="str">
        <f t="shared" si="0"/>
        <v>Square</v>
      </c>
      <c r="C175" s="3" t="str">
        <f ca="1">IFERROR(__xludf.DUMMYFUNCTION("GOOGLETRANSLATE(A175,""en"",""es"")"),"Cuadrado")</f>
        <v>Cuadrado</v>
      </c>
      <c r="D175" s="3" t="str">
        <f ca="1">IFERROR(__xludf.DUMMYFUNCTION("GOOGLETRANSLATE(A175,""en"",""ca"")"),"Quadrat")</f>
        <v>Quadrat</v>
      </c>
      <c r="E175" s="3" t="str">
        <f ca="1">IFERROR(__xludf.DUMMYFUNCTION("GOOGLETRANSLATE(A175,""en"",""fr"")"),"Carré")</f>
        <v>Carré</v>
      </c>
      <c r="F175" s="3" t="str">
        <f ca="1">IFERROR(__xludf.DUMMYFUNCTION("GOOGLETRANSLATE(A175,""en"",""de"")"),"Quadrat")</f>
        <v>Quadrat</v>
      </c>
      <c r="G175" s="3" t="str">
        <f ca="1">IFERROR(__xludf.DUMMYFUNCTION("GOOGLETRANSLATE(A175,""en"",""it"")"),"Piazza")</f>
        <v>Piazza</v>
      </c>
      <c r="H175" s="3" t="str">
        <f ca="1">IFERROR(__xludf.DUMMYFUNCTION("GOOGLETRANSLATE(A175,""en"",""nl"")"),"Vierkant")</f>
        <v>Vierkant</v>
      </c>
      <c r="I175" s="3" t="str">
        <f ca="1">IFERROR(__xludf.DUMMYFUNCTION("GOOGLETRANSLATE(A175,""en"",""eu"")"),"Plaza")</f>
        <v>Plaza</v>
      </c>
      <c r="J175" s="3" t="str">
        <f ca="1">IFERROR(__xludf.DUMMYFUNCTION("GOOGLETRANSLATE(A175,""en"",""gl"")"),"Praza")</f>
        <v>Praza</v>
      </c>
      <c r="K175" s="3" t="str">
        <f ca="1">IFERROR(__xludf.DUMMYFUNCTION("GOOGLETRANSLATE(A175,""en"",""zh"")"),"正方形")</f>
        <v>正方形</v>
      </c>
    </row>
    <row r="176" spans="1:11" x14ac:dyDescent="0.2">
      <c r="A176" s="4" t="s">
        <v>185</v>
      </c>
      <c r="B176" s="3" t="str">
        <f t="shared" si="0"/>
        <v>Subject to how your code cutting mahine works will depend on what code you choose to use.</v>
      </c>
      <c r="C176" s="3" t="str">
        <f ca="1">IFERROR(__xludf.DUMMYFUNCTION("GOOGLETRANSLATE(A176,""en"",""es"")"),"Sujeto a cómo funciona su máquina de corte de código dependerá del código que elija utilizar.")</f>
        <v>Sujeto a cómo funciona su máquina de corte de código dependerá del código que elija utilizar.</v>
      </c>
      <c r="D176" s="3" t="str">
        <f ca="1">IFERROR(__xludf.DUMMYFUNCTION("GOOGLETRANSLATE(A176,""en"",""ca"")"),"El funcionament de la màquina de tall de codi dependrà del codi que trieu utilitzar.")</f>
        <v>El funcionament de la màquina de tall de codi dependrà del codi que trieu utilitzar.</v>
      </c>
      <c r="E176" s="3" t="str">
        <f ca="1">IFERROR(__xludf.DUMMYFUNCTION("GOOGLETRANSLATE(A176,""en"",""fr"")"),"Le fonctionnement de votre machine de découpe de code dépendra du code que vous choisissez d'utiliser.")</f>
        <v>Le fonctionnement de votre machine de découpe de code dépendra du code que vous choisissez d'utiliser.</v>
      </c>
      <c r="F176" s="3" t="str">
        <f ca="1">IFERROR(__xludf.DUMMYFUNCTION("GOOGLETRANSLATE(A176,""en"",""de"")"),"Je nachdem, wie Ihre Codeschneidemaschine funktioniert, hängt es davon ab, welchen Code Sie verwenden möchten.")</f>
        <v>Je nachdem, wie Ihre Codeschneidemaschine funktioniert, hängt es davon ab, welchen Code Sie verwenden möchten.</v>
      </c>
      <c r="G176" s="3" t="str">
        <f ca="1">IFERROR(__xludf.DUMMYFUNCTION("GOOGLETRANSLATE(A176,""en"",""it"")"),"Il modo in cui funziona la tua macchina per il taglio del codice dipenderà dal codice che scegli di utilizzare.")</f>
        <v>Il modo in cui funziona la tua macchina per il taglio del codice dipenderà dal codice che scegli di utilizzare.</v>
      </c>
      <c r="H176" s="3" t="str">
        <f ca="1">IFERROR(__xludf.DUMMYFUNCTION("GOOGLETRANSLATE(A176,""en"",""nl"")"),"Hoe uw codesnijmachine werkt, hangt af van de code die u wilt gebruiken.")</f>
        <v>Hoe uw codesnijmachine werkt, hangt af van de code die u wilt gebruiken.</v>
      </c>
      <c r="I176" s="3" t="str">
        <f ca="1">IFERROR(__xludf.DUMMYFUNCTION("GOOGLETRANSLATE(A176,""en"",""eu"")"),"Zure kodea mozteko mahinak funtzionatzen duenaren arabera, erabiltzea aukeratzen duzun kodearen araberakoa izango da.")</f>
        <v>Zure kodea mozteko mahinak funtzionatzen duenaren arabera, erabiltzea aukeratzen duzun kodearen araberakoa izango da.</v>
      </c>
      <c r="J176" s="3" t="str">
        <f ca="1">IFERROR(__xludf.DUMMYFUNCTION("GOOGLETRANSLATE(A176,""en"",""gl"")"),"Suxeito a como funcione a máquina de corte de códigos, dependerá do código que elixas usar.")</f>
        <v>Suxeito a como funcione a máquina de corte de códigos, dependerá do código que elixas usar.</v>
      </c>
      <c r="K176" s="3" t="str">
        <f ca="1">IFERROR(__xludf.DUMMYFUNCTION("GOOGLETRANSLATE(A176,""en"",""zh"")"),"您的代码切割机的工作方式取决于您选择使用的代码。")</f>
        <v>您的代码切割机的工作方式取决于您选择使用的代码。</v>
      </c>
    </row>
    <row r="177" spans="1:11" x14ac:dyDescent="0.2">
      <c r="A177" s="4" t="s">
        <v>186</v>
      </c>
      <c r="B177" s="3" t="str">
        <f t="shared" si="0"/>
        <v>Submit New Vehicle</v>
      </c>
      <c r="C177" s="3" t="str">
        <f ca="1">IFERROR(__xludf.DUMMYFUNCTION("GOOGLETRANSLATE(A177,""en"",""es"")"),"Enviar vehículo nuevo")</f>
        <v>Enviar vehículo nuevo</v>
      </c>
      <c r="D177" s="3" t="str">
        <f ca="1">IFERROR(__xludf.DUMMYFUNCTION("GOOGLETRANSLATE(A177,""en"",""ca"")"),"Envia un vehicle nou")</f>
        <v>Envia un vehicle nou</v>
      </c>
      <c r="E177" s="3" t="str">
        <f ca="1">IFERROR(__xludf.DUMMYFUNCTION("GOOGLETRANSLATE(A177,""en"",""fr"")"),"Soumettre un nouveau véhicule")</f>
        <v>Soumettre un nouveau véhicule</v>
      </c>
      <c r="F177" s="3" t="str">
        <f ca="1">IFERROR(__xludf.DUMMYFUNCTION("GOOGLETRANSLATE(A177,""en"",""de"")"),"Neues Fahrzeug einreichen")</f>
        <v>Neues Fahrzeug einreichen</v>
      </c>
      <c r="G177" s="3" t="str">
        <f ca="1">IFERROR(__xludf.DUMMYFUNCTION("GOOGLETRANSLATE(A177,""en"",""it"")"),"Invia nuovo veicolo")</f>
        <v>Invia nuovo veicolo</v>
      </c>
      <c r="H177" s="3" t="str">
        <f ca="1">IFERROR(__xludf.DUMMYFUNCTION("GOOGLETRANSLATE(A177,""en"",""nl"")"),"Nieuw voertuig indienen")</f>
        <v>Nieuw voertuig indienen</v>
      </c>
      <c r="I177" s="3" t="str">
        <f ca="1">IFERROR(__xludf.DUMMYFUNCTION("GOOGLETRANSLATE(A177,""en"",""eu"")"),"Bidali Ibilgailu Berria")</f>
        <v>Bidali Ibilgailu Berria</v>
      </c>
      <c r="J177" s="3" t="str">
        <f ca="1">IFERROR(__xludf.DUMMYFUNCTION("GOOGLETRANSLATE(A177,""en"",""gl"")"),"Enviar vehículo novo")</f>
        <v>Enviar vehículo novo</v>
      </c>
      <c r="K177" s="3" t="str">
        <f ca="1">IFERROR(__xludf.DUMMYFUNCTION("GOOGLETRANSLATE(A177,""en"",""zh"")"),"提交新车")</f>
        <v>提交新车</v>
      </c>
    </row>
    <row r="178" spans="1:11" x14ac:dyDescent="0.2">
      <c r="A178" s="4" t="s">
        <v>187</v>
      </c>
      <c r="B178" s="3" t="str">
        <f t="shared" si="0"/>
        <v>Subscription</v>
      </c>
      <c r="C178" s="3" t="str">
        <f ca="1">IFERROR(__xludf.DUMMYFUNCTION("GOOGLETRANSLATE(A178,""en"",""es"")"),"Suscripción")</f>
        <v>Suscripción</v>
      </c>
      <c r="D178" s="3" t="str">
        <f ca="1">IFERROR(__xludf.DUMMYFUNCTION("GOOGLETRANSLATE(A178,""en"",""ca"")"),"Subscripció")</f>
        <v>Subscripció</v>
      </c>
      <c r="E178" s="3" t="str">
        <f ca="1">IFERROR(__xludf.DUMMYFUNCTION("GOOGLETRANSLATE(A178,""en"",""fr"")"),"Abonnement")</f>
        <v>Abonnement</v>
      </c>
      <c r="F178" s="3" t="str">
        <f ca="1">IFERROR(__xludf.DUMMYFUNCTION("GOOGLETRANSLATE(A178,""en"",""de"")"),"Abonnement")</f>
        <v>Abonnement</v>
      </c>
      <c r="G178" s="3" t="str">
        <f ca="1">IFERROR(__xludf.DUMMYFUNCTION("GOOGLETRANSLATE(A178,""en"",""it"")"),"Sottoscrizione")</f>
        <v>Sottoscrizione</v>
      </c>
      <c r="H178" s="3" t="str">
        <f ca="1">IFERROR(__xludf.DUMMYFUNCTION("GOOGLETRANSLATE(A178,""en"",""nl"")"),"Abonnement")</f>
        <v>Abonnement</v>
      </c>
      <c r="I178" s="3" t="str">
        <f ca="1">IFERROR(__xludf.DUMMYFUNCTION("GOOGLETRANSLATE(A178,""en"",""eu"")"),"Harpidetza")</f>
        <v>Harpidetza</v>
      </c>
      <c r="J178" s="3" t="str">
        <f ca="1">IFERROR(__xludf.DUMMYFUNCTION("GOOGLETRANSLATE(A178,""en"",""gl"")"),"Subscrición")</f>
        <v>Subscrición</v>
      </c>
      <c r="K178" s="3" t="str">
        <f ca="1">IFERROR(__xludf.DUMMYFUNCTION("GOOGLETRANSLATE(A178,""en"",""zh"")"),"订阅")</f>
        <v>订阅</v>
      </c>
    </row>
    <row r="179" spans="1:11" x14ac:dyDescent="0.2">
      <c r="A179" s="4" t="s">
        <v>188</v>
      </c>
      <c r="B179" s="3" t="str">
        <f t="shared" si="0"/>
        <v>Success</v>
      </c>
      <c r="C179" s="3" t="str">
        <f ca="1">IFERROR(__xludf.DUMMYFUNCTION("GOOGLETRANSLATE(A179,""en"",""es"")"),"Éxito")</f>
        <v>Éxito</v>
      </c>
      <c r="D179" s="3" t="str">
        <f ca="1">IFERROR(__xludf.DUMMYFUNCTION("GOOGLETRANSLATE(A179,""en"",""ca"")"),"Èxit")</f>
        <v>Èxit</v>
      </c>
      <c r="E179" s="3" t="str">
        <f ca="1">IFERROR(__xludf.DUMMYFUNCTION("GOOGLETRANSLATE(A179,""en"",""fr"")"),"Succès")</f>
        <v>Succès</v>
      </c>
      <c r="F179" s="3" t="str">
        <f ca="1">IFERROR(__xludf.DUMMYFUNCTION("GOOGLETRANSLATE(A179,""en"",""de"")"),"Erfolg")</f>
        <v>Erfolg</v>
      </c>
      <c r="G179" s="3" t="str">
        <f ca="1">IFERROR(__xludf.DUMMYFUNCTION("GOOGLETRANSLATE(A179,""en"",""it"")"),"Successo")</f>
        <v>Successo</v>
      </c>
      <c r="H179" s="3" t="str">
        <f ca="1">IFERROR(__xludf.DUMMYFUNCTION("GOOGLETRANSLATE(A179,""en"",""nl"")"),"Succes")</f>
        <v>Succes</v>
      </c>
      <c r="I179" s="3" t="str">
        <f ca="1">IFERROR(__xludf.DUMMYFUNCTION("GOOGLETRANSLATE(A179,""en"",""eu"")"),"Arrakasta")</f>
        <v>Arrakasta</v>
      </c>
      <c r="J179" s="3" t="str">
        <f ca="1">IFERROR(__xludf.DUMMYFUNCTION("GOOGLETRANSLATE(A179,""en"",""gl"")"),"Éxito")</f>
        <v>Éxito</v>
      </c>
      <c r="K179" s="3" t="str">
        <f ca="1">IFERROR(__xludf.DUMMYFUNCTION("GOOGLETRANSLATE(A179,""en"",""zh"")"),"成功")</f>
        <v>成功</v>
      </c>
    </row>
    <row r="180" spans="1:11" x14ac:dyDescent="0.2">
      <c r="A180" s="4" t="s">
        <v>189</v>
      </c>
      <c r="B180" s="3" t="str">
        <f t="shared" si="0"/>
        <v>Tap here to download</v>
      </c>
      <c r="C180" s="3" t="str">
        <f ca="1">IFERROR(__xludf.DUMMYFUNCTION("GOOGLETRANSLATE(A180,""en"",""es"")"),"Toque aquí para descargar")</f>
        <v>Toque aquí para descargar</v>
      </c>
      <c r="D180" s="3" t="str">
        <f ca="1">IFERROR(__xludf.DUMMYFUNCTION("GOOGLETRANSLATE(A180,""en"",""ca"")"),"Toqueu aquí per descarregar")</f>
        <v>Toqueu aquí per descarregar</v>
      </c>
      <c r="E180" s="3" t="str">
        <f ca="1">IFERROR(__xludf.DUMMYFUNCTION("GOOGLETRANSLATE(A180,""en"",""fr"")"),"Appuyez ici pour télécharger")</f>
        <v>Appuyez ici pour télécharger</v>
      </c>
      <c r="F180" s="3" t="str">
        <f ca="1">IFERROR(__xludf.DUMMYFUNCTION("GOOGLETRANSLATE(A180,""en"",""de"")"),"Zum Herunterladen hier tippen")</f>
        <v>Zum Herunterladen hier tippen</v>
      </c>
      <c r="G180" s="3" t="str">
        <f ca="1">IFERROR(__xludf.DUMMYFUNCTION("GOOGLETRANSLATE(A180,""en"",""it"")"),"Tocca qui per scaricare")</f>
        <v>Tocca qui per scaricare</v>
      </c>
      <c r="H180" s="3" t="str">
        <f ca="1">IFERROR(__xludf.DUMMYFUNCTION("GOOGLETRANSLATE(A180,""en"",""nl"")"),"Tik hier om te downloaden")</f>
        <v>Tik hier om te downloaden</v>
      </c>
      <c r="I180" s="3" t="str">
        <f ca="1">IFERROR(__xludf.DUMMYFUNCTION("GOOGLETRANSLATE(A180,""en"",""eu"")"),"Sakatu hemen deskargatzeko")</f>
        <v>Sakatu hemen deskargatzeko</v>
      </c>
      <c r="J180" s="3" t="str">
        <f ca="1">IFERROR(__xludf.DUMMYFUNCTION("GOOGLETRANSLATE(A180,""en"",""gl"")"),"Toca aquí para descargar")</f>
        <v>Toca aquí para descargar</v>
      </c>
      <c r="K180" s="3" t="str">
        <f ca="1">IFERROR(__xludf.DUMMYFUNCTION("GOOGLETRANSLATE(A180,""en"",""zh"")"),"点击此处下载")</f>
        <v>点击此处下载</v>
      </c>
    </row>
    <row r="181" spans="1:11" x14ac:dyDescent="0.2">
      <c r="A181" s="4" t="s">
        <v>190</v>
      </c>
      <c r="B181" s="3" t="str">
        <f t="shared" si="0"/>
        <v>Tap on each chamber above to select the cuts to re-arrange</v>
      </c>
      <c r="C181" s="3" t="str">
        <f ca="1">IFERROR(__xludf.DUMMYFUNCTION("GOOGLETRANSLATE(A181,""en"",""es"")"),"Toque cada cámara de arriba para seleccionar los cortes para reorganizar")</f>
        <v>Toque cada cámara de arriba para seleccionar los cortes para reorganizar</v>
      </c>
      <c r="D181" s="3" t="str">
        <f ca="1">IFERROR(__xludf.DUMMYFUNCTION("GOOGLETRANSLATE(A181,""en"",""ca"")"),"Toqueu cada cambra de dalt per seleccionar els talls que voleu reorganitzar")</f>
        <v>Toqueu cada cambra de dalt per seleccionar els talls que voleu reorganitzar</v>
      </c>
      <c r="E181" s="3" t="str">
        <f ca="1">IFERROR(__xludf.DUMMYFUNCTION("GOOGLETRANSLATE(A181,""en"",""fr"")"),"Appuyez sur chaque chambre ci-dessus pour sélectionner les coupes à réorganiser")</f>
        <v>Appuyez sur chaque chambre ci-dessus pour sélectionner les coupes à réorganiser</v>
      </c>
      <c r="F181" s="3" t="str">
        <f ca="1">IFERROR(__xludf.DUMMYFUNCTION("GOOGLETRANSLATE(A181,""en"",""de"")"),"Tippen Sie oben auf jede Kammer, um die Stücke auszuwählen, die Sie neu anordnen möchten")</f>
        <v>Tippen Sie oben auf jede Kammer, um die Stücke auszuwählen, die Sie neu anordnen möchten</v>
      </c>
      <c r="G181" s="3" t="str">
        <f ca="1">IFERROR(__xludf.DUMMYFUNCTION("GOOGLETRANSLATE(A181,""en"",""it"")"),"Tocca ciascuna camera in alto per selezionare i tagli da riorganizzare")</f>
        <v>Tocca ciascuna camera in alto per selezionare i tagli da riorganizzare</v>
      </c>
      <c r="H181" s="3" t="str">
        <f ca="1">IFERROR(__xludf.DUMMYFUNCTION("GOOGLETRANSLATE(A181,""en"",""nl"")"),"Tik op elke kamer hierboven om de delen te selecteren die je opnieuw wilt rangschikken")</f>
        <v>Tik op elke kamer hierboven om de delen te selecteren die je opnieuw wilt rangschikken</v>
      </c>
      <c r="I181" s="3" t="str">
        <f ca="1">IFERROR(__xludf.DUMMYFUNCTION("GOOGLETRANSLATE(A181,""en"",""eu"")"),"Ukitu goiko ganbera bakoitza berriro antolatu beharreko mozketak hautatzeko")</f>
        <v>Ukitu goiko ganbera bakoitza berriro antolatu beharreko mozketak hautatzeko</v>
      </c>
      <c r="J181" s="3" t="str">
        <f ca="1">IFERROR(__xludf.DUMMYFUNCTION("GOOGLETRANSLATE(A181,""en"",""gl"")"),"Toca cada cámara anterior para seleccionar os cortes que queres reorganizar")</f>
        <v>Toca cada cámara anterior para seleccionar os cortes que queres reorganizar</v>
      </c>
      <c r="K181" s="3" t="str">
        <f ca="1">IFERROR(__xludf.DUMMYFUNCTION("GOOGLETRANSLATE(A181,""en"",""zh"")"),"点击上面的每个室以选择要重新排列的切口")</f>
        <v>点击上面的每个室以选择要重新排列的切口</v>
      </c>
    </row>
    <row r="182" spans="1:11" x14ac:dyDescent="0.2">
      <c r="A182" s="4" t="s">
        <v>191</v>
      </c>
      <c r="B182" s="3" t="str">
        <f t="shared" si="0"/>
        <v>This information did not work for me</v>
      </c>
      <c r="C182" s="3" t="str">
        <f ca="1">IFERROR(__xludf.DUMMYFUNCTION("GOOGLETRANSLATE(A182,""en"",""es"")"),"Esta información no me funcionó")</f>
        <v>Esta información no me funcionó</v>
      </c>
      <c r="D182" s="3" t="str">
        <f ca="1">IFERROR(__xludf.DUMMYFUNCTION("GOOGLETRANSLATE(A182,""en"",""ca"")"),"Aquesta informació no em va funcionar")</f>
        <v>Aquesta informació no em va funcionar</v>
      </c>
      <c r="E182" s="3" t="str">
        <f ca="1">IFERROR(__xludf.DUMMYFUNCTION("GOOGLETRANSLATE(A182,""en"",""fr"")"),"Cette information n'a pas fonctionné pour moi")</f>
        <v>Cette information n'a pas fonctionné pour moi</v>
      </c>
      <c r="F182" s="3" t="str">
        <f ca="1">IFERROR(__xludf.DUMMYFUNCTION("GOOGLETRANSLATE(A182,""en"",""de"")"),"Diese Informationen haben bei mir nicht funktioniert")</f>
        <v>Diese Informationen haben bei mir nicht funktioniert</v>
      </c>
      <c r="G182" s="3" t="str">
        <f ca="1">IFERROR(__xludf.DUMMYFUNCTION("GOOGLETRANSLATE(A182,""en"",""it"")"),"Questa informazione non ha funzionato per me")</f>
        <v>Questa informazione non ha funzionato per me</v>
      </c>
      <c r="H182" s="3" t="str">
        <f ca="1">IFERROR(__xludf.DUMMYFUNCTION("GOOGLETRANSLATE(A182,""en"",""nl"")"),"Deze informatie werkte niet voor mij")</f>
        <v>Deze informatie werkte niet voor mij</v>
      </c>
      <c r="I182" s="3" t="str">
        <f ca="1">IFERROR(__xludf.DUMMYFUNCTION("GOOGLETRANSLATE(A182,""en"",""eu"")"),"Informazio honek ez zidan balio")</f>
        <v>Informazio honek ez zidan balio</v>
      </c>
      <c r="J182" s="3" t="str">
        <f ca="1">IFERROR(__xludf.DUMMYFUNCTION("GOOGLETRANSLATE(A182,""en"",""gl"")"),"Esta información non me funcionou")</f>
        <v>Esta información non me funcionou</v>
      </c>
      <c r="K182" s="3" t="str">
        <f ca="1">IFERROR(__xludf.DUMMYFUNCTION("GOOGLETRANSLATE(A182,""en"",""zh"")"),"此信息对我不起作用")</f>
        <v>此信息对我不起作用</v>
      </c>
    </row>
    <row r="183" spans="1:11" x14ac:dyDescent="0.2">
      <c r="A183" s="4" t="s">
        <v>192</v>
      </c>
      <c r="B183" s="3" t="str">
        <f t="shared" si="0"/>
        <v>This information helped me</v>
      </c>
      <c r="C183" s="3" t="str">
        <f ca="1">IFERROR(__xludf.DUMMYFUNCTION("GOOGLETRANSLATE(A183,""en"",""es"")"),"Esta información me ayudó")</f>
        <v>Esta información me ayudó</v>
      </c>
      <c r="D183" s="3" t="str">
        <f ca="1">IFERROR(__xludf.DUMMYFUNCTION("GOOGLETRANSLATE(A183,""en"",""ca"")"),"Aquesta informació em va ajudar")</f>
        <v>Aquesta informació em va ajudar</v>
      </c>
      <c r="E183" s="3" t="str">
        <f ca="1">IFERROR(__xludf.DUMMYFUNCTION("GOOGLETRANSLATE(A183,""en"",""fr"")"),"Cette information m'a aidé")</f>
        <v>Cette information m'a aidé</v>
      </c>
      <c r="F183" s="3" t="str">
        <f ca="1">IFERROR(__xludf.DUMMYFUNCTION("GOOGLETRANSLATE(A183,""en"",""de"")"),"Diese Informationen haben mir geholfen")</f>
        <v>Diese Informationen haben mir geholfen</v>
      </c>
      <c r="G183" s="3" t="str">
        <f ca="1">IFERROR(__xludf.DUMMYFUNCTION("GOOGLETRANSLATE(A183,""en"",""it"")"),"Questa informazione mi ha aiutato")</f>
        <v>Questa informazione mi ha aiutato</v>
      </c>
      <c r="H183" s="3" t="str">
        <f ca="1">IFERROR(__xludf.DUMMYFUNCTION("GOOGLETRANSLATE(A183,""en"",""nl"")"),"Deze informatie heeft mij geholpen")</f>
        <v>Deze informatie heeft mij geholpen</v>
      </c>
      <c r="I183" s="3" t="str">
        <f ca="1">IFERROR(__xludf.DUMMYFUNCTION("GOOGLETRANSLATE(A183,""en"",""eu"")"),"Informazio honek lagundu zidan")</f>
        <v>Informazio honek lagundu zidan</v>
      </c>
      <c r="J183" s="3" t="str">
        <f ca="1">IFERROR(__xludf.DUMMYFUNCTION("GOOGLETRANSLATE(A183,""en"",""gl"")"),"Esta información axudoume")</f>
        <v>Esta información axudoume</v>
      </c>
      <c r="K183" s="3" t="str">
        <f ca="1">IFERROR(__xludf.DUMMYFUNCTION("GOOGLETRANSLATE(A183,""en"",""zh"")"),"这些信息对我有帮助")</f>
        <v>这些信息对我有帮助</v>
      </c>
    </row>
    <row r="184" spans="1:11" x14ac:dyDescent="0.2">
      <c r="A184" s="4" t="s">
        <v>193</v>
      </c>
      <c r="B184" s="3" t="str">
        <f t="shared" si="0"/>
        <v>Tools</v>
      </c>
      <c r="C184" s="3" t="str">
        <f ca="1">IFERROR(__xludf.DUMMYFUNCTION("GOOGLETRANSLATE(A184,""en"",""es"")"),"Herramientas")</f>
        <v>Herramientas</v>
      </c>
      <c r="D184" s="3" t="str">
        <f ca="1">IFERROR(__xludf.DUMMYFUNCTION("GOOGLETRANSLATE(A184,""en"",""ca"")"),"Eines")</f>
        <v>Eines</v>
      </c>
      <c r="E184" s="3" t="str">
        <f ca="1">IFERROR(__xludf.DUMMYFUNCTION("GOOGLETRANSLATE(A184,""en"",""fr"")"),"Outils")</f>
        <v>Outils</v>
      </c>
      <c r="F184" s="3" t="str">
        <f ca="1">IFERROR(__xludf.DUMMYFUNCTION("GOOGLETRANSLATE(A184,""en"",""de"")"),"Werkzeuge")</f>
        <v>Werkzeuge</v>
      </c>
      <c r="G184" s="3" t="str">
        <f ca="1">IFERROR(__xludf.DUMMYFUNCTION("GOOGLETRANSLATE(A184,""en"",""it"")"),"Utensili")</f>
        <v>Utensili</v>
      </c>
      <c r="H184" s="3" t="str">
        <f ca="1">IFERROR(__xludf.DUMMYFUNCTION("GOOGLETRANSLATE(A184,""en"",""nl"")"),"Hulpmiddelen")</f>
        <v>Hulpmiddelen</v>
      </c>
      <c r="I184" s="3" t="str">
        <f ca="1">IFERROR(__xludf.DUMMYFUNCTION("GOOGLETRANSLATE(A184,""en"",""eu"")"),"Tresnak")</f>
        <v>Tresnak</v>
      </c>
      <c r="J184" s="3" t="str">
        <f ca="1">IFERROR(__xludf.DUMMYFUNCTION("GOOGLETRANSLATE(A184,""en"",""gl"")"),"Ferramentas")</f>
        <v>Ferramentas</v>
      </c>
      <c r="K184" s="3" t="str">
        <f ca="1">IFERROR(__xludf.DUMMYFUNCTION("GOOGLETRANSLATE(A184,""en"",""zh"")"),"工具")</f>
        <v>工具</v>
      </c>
    </row>
    <row r="185" spans="1:11" x14ac:dyDescent="0.2">
      <c r="A185" s="4" t="s">
        <v>194</v>
      </c>
      <c r="B185" s="3" t="str">
        <f t="shared" si="0"/>
        <v>Tools Backed Up</v>
      </c>
      <c r="C185" s="3" t="str">
        <f ca="1">IFERROR(__xludf.DUMMYFUNCTION("GOOGLETRANSLATE(A185,""en"",""es"")"),"Herramientas respaldadas")</f>
        <v>Herramientas respaldadas</v>
      </c>
      <c r="D185" s="3" t="str">
        <f ca="1">IFERROR(__xludf.DUMMYFUNCTION("GOOGLETRANSLATE(A185,""en"",""ca"")"),"Còpia de seguretat d'eines")</f>
        <v>Còpia de seguretat d'eines</v>
      </c>
      <c r="E185" s="3" t="str">
        <f ca="1">IFERROR(__xludf.DUMMYFUNCTION("GOOGLETRANSLATE(A185,""en"",""fr"")"),"Outils sauvegardés")</f>
        <v>Outils sauvegardés</v>
      </c>
      <c r="F185" s="3" t="str">
        <f ca="1">IFERROR(__xludf.DUMMYFUNCTION("GOOGLETRANSLATE(A185,""en"",""de"")"),"Gesicherte Tools")</f>
        <v>Gesicherte Tools</v>
      </c>
      <c r="G185" s="3" t="str">
        <f ca="1">IFERROR(__xludf.DUMMYFUNCTION("GOOGLETRANSLATE(A185,""en"",""it"")"),"Strumenti sottoposti a backup")</f>
        <v>Strumenti sottoposti a backup</v>
      </c>
      <c r="H185" s="3" t="str">
        <f ca="1">IFERROR(__xludf.DUMMYFUNCTION("GOOGLETRANSLATE(A185,""en"",""nl"")"),"Hulpprogramma's waarvan een back-up is gemaakt")</f>
        <v>Hulpprogramma's waarvan een back-up is gemaakt</v>
      </c>
      <c r="I185" s="3" t="str">
        <f ca="1">IFERROR(__xludf.DUMMYFUNCTION("GOOGLETRANSLATE(A185,""en"",""eu"")"),"Tresnak babeskopiak egin dira")</f>
        <v>Tresnak babeskopiak egin dira</v>
      </c>
      <c r="J185" s="3" t="str">
        <f ca="1">IFERROR(__xludf.DUMMYFUNCTION("GOOGLETRANSLATE(A185,""en"",""gl"")"),"Copia de seguranza de ferramentas")</f>
        <v>Copia de seguranza de ferramentas</v>
      </c>
      <c r="K185" s="3" t="str">
        <f ca="1">IFERROR(__xludf.DUMMYFUNCTION("GOOGLETRANSLATE(A185,""en"",""zh"")"),"工具备份")</f>
        <v>工具备份</v>
      </c>
    </row>
    <row r="186" spans="1:11" x14ac:dyDescent="0.2">
      <c r="A186" s="4" t="s">
        <v>195</v>
      </c>
      <c r="B186" s="3" t="str">
        <f t="shared" si="0"/>
        <v>Tools Restored</v>
      </c>
      <c r="C186" s="3" t="str">
        <f ca="1">IFERROR(__xludf.DUMMYFUNCTION("GOOGLETRANSLATE(A186,""en"",""es"")"),"Herramientas restauradas")</f>
        <v>Herramientas restauradas</v>
      </c>
      <c r="D186" s="3" t="str">
        <f ca="1">IFERROR(__xludf.DUMMYFUNCTION("GOOGLETRANSLATE(A186,""en"",""ca"")"),"Eines restaurades")</f>
        <v>Eines restaurades</v>
      </c>
      <c r="E186" s="3" t="str">
        <f ca="1">IFERROR(__xludf.DUMMYFUNCTION("GOOGLETRANSLATE(A186,""en"",""fr"")"),"Outils restaurés")</f>
        <v>Outils restaurés</v>
      </c>
      <c r="F186" s="3" t="str">
        <f ca="1">IFERROR(__xludf.DUMMYFUNCTION("GOOGLETRANSLATE(A186,""en"",""de"")"),"Werkzeuge restauriert")</f>
        <v>Werkzeuge restauriert</v>
      </c>
      <c r="G186" s="3" t="str">
        <f ca="1">IFERROR(__xludf.DUMMYFUNCTION("GOOGLETRANSLATE(A186,""en"",""it"")"),"Strumenti ripristinati")</f>
        <v>Strumenti ripristinati</v>
      </c>
      <c r="H186" s="3" t="str">
        <f ca="1">IFERROR(__xludf.DUMMYFUNCTION("GOOGLETRANSLATE(A186,""en"",""nl"")"),"Gereedschap hersteld")</f>
        <v>Gereedschap hersteld</v>
      </c>
      <c r="I186" s="3" t="str">
        <f ca="1">IFERROR(__xludf.DUMMYFUNCTION("GOOGLETRANSLATE(A186,""en"",""eu"")"),"Tresnak Berrezarri")</f>
        <v>Tresnak Berrezarri</v>
      </c>
      <c r="J186" s="3" t="str">
        <f ca="1">IFERROR(__xludf.DUMMYFUNCTION("GOOGLETRANSLATE(A186,""en"",""gl"")"),"Ferramentas restauradas")</f>
        <v>Ferramentas restauradas</v>
      </c>
      <c r="K186" s="3" t="str">
        <f ca="1">IFERROR(__xludf.DUMMYFUNCTION("GOOGLETRANSLATE(A186,""en"",""zh"")"),"工具已恢复")</f>
        <v>工具已恢复</v>
      </c>
    </row>
    <row r="187" spans="1:11" x14ac:dyDescent="0.2">
      <c r="A187" s="4" t="s">
        <v>196</v>
      </c>
      <c r="B187" s="3" t="str">
        <f t="shared" si="0"/>
        <v>Transponder</v>
      </c>
      <c r="C187" s="3" t="str">
        <f ca="1">IFERROR(__xludf.DUMMYFUNCTION("GOOGLETRANSLATE(A187,""en"",""es"")"),"transpondedor")</f>
        <v>transpondedor</v>
      </c>
      <c r="D187" s="3" t="str">
        <f ca="1">IFERROR(__xludf.DUMMYFUNCTION("GOOGLETRANSLATE(A187,""en"",""ca"")"),"Transponder")</f>
        <v>Transponder</v>
      </c>
      <c r="E187" s="3" t="str">
        <f ca="1">IFERROR(__xludf.DUMMYFUNCTION("GOOGLETRANSLATE(A187,""en"",""fr"")"),"Transpondeur")</f>
        <v>Transpondeur</v>
      </c>
      <c r="F187" s="3" t="str">
        <f ca="1">IFERROR(__xludf.DUMMYFUNCTION("GOOGLETRANSLATE(A187,""en"",""de"")"),"Transponder")</f>
        <v>Transponder</v>
      </c>
      <c r="G187" s="3" t="str">
        <f ca="1">IFERROR(__xludf.DUMMYFUNCTION("GOOGLETRANSLATE(A187,""en"",""it"")"),"Trasponditore")</f>
        <v>Trasponditore</v>
      </c>
      <c r="H187" s="3" t="str">
        <f ca="1">IFERROR(__xludf.DUMMYFUNCTION("GOOGLETRANSLATE(A187,""en"",""nl"")"),"Transponder")</f>
        <v>Transponder</v>
      </c>
      <c r="I187" s="3" t="str">
        <f ca="1">IFERROR(__xludf.DUMMYFUNCTION("GOOGLETRANSLATE(A187,""en"",""eu"")"),"Transponder")</f>
        <v>Transponder</v>
      </c>
      <c r="J187" s="3" t="str">
        <f ca="1">IFERROR(__xludf.DUMMYFUNCTION("GOOGLETRANSLATE(A187,""en"",""gl"")"),"Transponder")</f>
        <v>Transponder</v>
      </c>
      <c r="K187" s="3" t="str">
        <f ca="1">IFERROR(__xludf.DUMMYFUNCTION("GOOGLETRANSLATE(A187,""en"",""zh"")"),"应答器")</f>
        <v>应答器</v>
      </c>
    </row>
    <row r="188" spans="1:11" x14ac:dyDescent="0.2">
      <c r="A188" s="4" t="s">
        <v>197</v>
      </c>
      <c r="B188" s="3" t="str">
        <f t="shared" si="0"/>
        <v>Transponders</v>
      </c>
      <c r="C188" s="3" t="str">
        <f ca="1">IFERROR(__xludf.DUMMYFUNCTION("GOOGLETRANSLATE(A188,""en"",""es"")"),"Transpondedores")</f>
        <v>Transpondedores</v>
      </c>
      <c r="D188" s="3" t="str">
        <f ca="1">IFERROR(__xludf.DUMMYFUNCTION("GOOGLETRANSLATE(A188,""en"",""ca"")"),"Transponders")</f>
        <v>Transponders</v>
      </c>
      <c r="E188" s="3" t="str">
        <f ca="1">IFERROR(__xludf.DUMMYFUNCTION("GOOGLETRANSLATE(A188,""en"",""fr"")"),"Transpondeurs")</f>
        <v>Transpondeurs</v>
      </c>
      <c r="F188" s="3" t="str">
        <f ca="1">IFERROR(__xludf.DUMMYFUNCTION("GOOGLETRANSLATE(A188,""en"",""de"")"),"Transponder")</f>
        <v>Transponder</v>
      </c>
      <c r="G188" s="3" t="str">
        <f ca="1">IFERROR(__xludf.DUMMYFUNCTION("GOOGLETRANSLATE(A188,""en"",""it"")"),"Transponder")</f>
        <v>Transponder</v>
      </c>
      <c r="H188" s="3" t="str">
        <f ca="1">IFERROR(__xludf.DUMMYFUNCTION("GOOGLETRANSLATE(A188,""en"",""nl"")"),"Transponders")</f>
        <v>Transponders</v>
      </c>
      <c r="I188" s="3" t="str">
        <f ca="1">IFERROR(__xludf.DUMMYFUNCTION("GOOGLETRANSLATE(A188,""en"",""eu"")"),"Transponderak")</f>
        <v>Transponderak</v>
      </c>
      <c r="J188" s="3" t="str">
        <f ca="1">IFERROR(__xludf.DUMMYFUNCTION("GOOGLETRANSLATE(A188,""en"",""gl"")"),"Transpondedores")</f>
        <v>Transpondedores</v>
      </c>
      <c r="K188" s="3" t="str">
        <f ca="1">IFERROR(__xludf.DUMMYFUNCTION("GOOGLETRANSLATE(A188,""en"",""zh"")"),"应答器")</f>
        <v>应答器</v>
      </c>
    </row>
    <row r="189" spans="1:11" x14ac:dyDescent="0.2">
      <c r="A189" s="4" t="s">
        <v>198</v>
      </c>
      <c r="B189" s="3" t="str">
        <f t="shared" si="0"/>
        <v>Transponder info</v>
      </c>
      <c r="C189" s="3" t="str">
        <f ca="1">IFERROR(__xludf.DUMMYFUNCTION("GOOGLETRANSLATE(A189,""en"",""es"")"),"Información del transpondedor")</f>
        <v>Información del transpondedor</v>
      </c>
      <c r="D189" s="3" t="str">
        <f ca="1">IFERROR(__xludf.DUMMYFUNCTION("GOOGLETRANSLATE(A189,""en"",""ca"")"),"Informació del transponder")</f>
        <v>Informació del transponder</v>
      </c>
      <c r="E189" s="3" t="str">
        <f ca="1">IFERROR(__xludf.DUMMYFUNCTION("GOOGLETRANSLATE(A189,""en"",""fr"")"),"Informations sur le transpondeur")</f>
        <v>Informations sur le transpondeur</v>
      </c>
      <c r="F189" s="3" t="str">
        <f ca="1">IFERROR(__xludf.DUMMYFUNCTION("GOOGLETRANSLATE(A189,""en"",""de"")"),"Transponder-Info")</f>
        <v>Transponder-Info</v>
      </c>
      <c r="G189" s="3" t="str">
        <f ca="1">IFERROR(__xludf.DUMMYFUNCTION("GOOGLETRANSLATE(A189,""en"",""it"")"),"Informazioni sul transponder")</f>
        <v>Informazioni sul transponder</v>
      </c>
      <c r="H189" s="3" t="str">
        <f ca="1">IFERROR(__xludf.DUMMYFUNCTION("GOOGLETRANSLATE(A189,""en"",""nl"")"),"Transponder-info")</f>
        <v>Transponder-info</v>
      </c>
      <c r="I189" s="3" t="str">
        <f ca="1">IFERROR(__xludf.DUMMYFUNCTION("GOOGLETRANSLATE(A189,""en"",""eu"")"),"Transponder informazioa")</f>
        <v>Transponder informazioa</v>
      </c>
      <c r="J189" s="3" t="str">
        <f ca="1">IFERROR(__xludf.DUMMYFUNCTION("GOOGLETRANSLATE(A189,""en"",""gl"")"),"Información do transpondedor")</f>
        <v>Información do transpondedor</v>
      </c>
      <c r="K189" s="3" t="str">
        <f ca="1">IFERROR(__xludf.DUMMYFUNCTION("GOOGLETRANSLATE(A189,""en"",""zh"")"),"应答器信息")</f>
        <v>应答器信息</v>
      </c>
    </row>
    <row r="190" spans="1:11" x14ac:dyDescent="0.2">
      <c r="A190" s="4" t="s">
        <v>199</v>
      </c>
      <c r="B190" s="3" t="str">
        <f t="shared" si="0"/>
        <v>Transponder Conversion Guide</v>
      </c>
      <c r="C190" s="3" t="str">
        <f ca="1">IFERROR(__xludf.DUMMYFUNCTION("GOOGLETRANSLATE(A190,""en"",""es"")"),"Guía de conversión de transpondedor")</f>
        <v>Guía de conversión de transpondedor</v>
      </c>
      <c r="D190" s="3" t="str">
        <f ca="1">IFERROR(__xludf.DUMMYFUNCTION("GOOGLETRANSLATE(A190,""en"",""ca"")"),"Guia de conversió de transpondedor")</f>
        <v>Guia de conversió de transpondedor</v>
      </c>
      <c r="E190" s="3" t="str">
        <f ca="1">IFERROR(__xludf.DUMMYFUNCTION("GOOGLETRANSLATE(A190,""en"",""fr"")"),"Guide de conversion de transpondeur")</f>
        <v>Guide de conversion de transpondeur</v>
      </c>
      <c r="F190" s="3" t="str">
        <f ca="1">IFERROR(__xludf.DUMMYFUNCTION("GOOGLETRANSLATE(A190,""en"",""de"")"),"Anleitung zur Transponderkonvertierung")</f>
        <v>Anleitung zur Transponderkonvertierung</v>
      </c>
      <c r="G190" s="3" t="str">
        <f ca="1">IFERROR(__xludf.DUMMYFUNCTION("GOOGLETRANSLATE(A190,""en"",""it"")"),"Guida alla conversione del transponder")</f>
        <v>Guida alla conversione del transponder</v>
      </c>
      <c r="H190" s="3" t="str">
        <f ca="1">IFERROR(__xludf.DUMMYFUNCTION("GOOGLETRANSLATE(A190,""en"",""nl"")"),"Transponderconversiegids")</f>
        <v>Transponderconversiegids</v>
      </c>
      <c r="I190" s="3" t="str">
        <f ca="1">IFERROR(__xludf.DUMMYFUNCTION("GOOGLETRANSLATE(A190,""en"",""eu"")"),"Transponder bihurtzeko gida")</f>
        <v>Transponder bihurtzeko gida</v>
      </c>
      <c r="J190" s="3" t="str">
        <f ca="1">IFERROR(__xludf.DUMMYFUNCTION("GOOGLETRANSLATE(A190,""en"",""gl"")"),"Guía de conversión de transpondedor")</f>
        <v>Guía de conversión de transpondedor</v>
      </c>
      <c r="K190" s="3" t="str">
        <f ca="1">IFERROR(__xludf.DUMMYFUNCTION("GOOGLETRANSLATE(A190,""en"",""zh"")"),"应答器转换指南")</f>
        <v>应答器转换指南</v>
      </c>
    </row>
    <row r="191" spans="1:11" x14ac:dyDescent="0.2">
      <c r="A191" s="4" t="s">
        <v>200</v>
      </c>
      <c r="B191" s="3" t="str">
        <f t="shared" si="0"/>
        <v>Toyota Parts</v>
      </c>
      <c r="C191" s="3" t="str">
        <f ca="1">IFERROR(__xludf.DUMMYFUNCTION("GOOGLETRANSLATE(A191,""en"",""es"")"),"Piezas Toyota")</f>
        <v>Piezas Toyota</v>
      </c>
      <c r="D191" s="3" t="str">
        <f ca="1">IFERROR(__xludf.DUMMYFUNCTION("GOOGLETRANSLATE(A191,""en"",""ca"")"),"Parts Toyota")</f>
        <v>Parts Toyota</v>
      </c>
      <c r="E191" s="3" t="str">
        <f ca="1">IFERROR(__xludf.DUMMYFUNCTION("GOOGLETRANSLATE(A191,""en"",""fr"")"),"Pièces Toyota")</f>
        <v>Pièces Toyota</v>
      </c>
      <c r="F191" s="3" t="str">
        <f ca="1">IFERROR(__xludf.DUMMYFUNCTION("GOOGLETRANSLATE(A191,""en"",""de"")"),"Toyota-Teile")</f>
        <v>Toyota-Teile</v>
      </c>
      <c r="G191" s="3" t="str">
        <f ca="1">IFERROR(__xludf.DUMMYFUNCTION("GOOGLETRANSLATE(A191,""en"",""it"")"),"Parti Toyota")</f>
        <v>Parti Toyota</v>
      </c>
      <c r="H191" s="3" t="str">
        <f ca="1">IFERROR(__xludf.DUMMYFUNCTION("GOOGLETRANSLATE(A191,""en"",""nl"")"),"Toyota-onderdelen")</f>
        <v>Toyota-onderdelen</v>
      </c>
      <c r="I191" s="3" t="str">
        <f ca="1">IFERROR(__xludf.DUMMYFUNCTION("GOOGLETRANSLATE(A191,""en"",""eu"")"),"Toyota piezak")</f>
        <v>Toyota piezak</v>
      </c>
      <c r="J191" s="3" t="str">
        <f ca="1">IFERROR(__xludf.DUMMYFUNCTION("GOOGLETRANSLATE(A191,""en"",""gl"")"),"Recambios Toyota")</f>
        <v>Recambios Toyota</v>
      </c>
      <c r="K191" s="3" t="str">
        <f ca="1">IFERROR(__xludf.DUMMYFUNCTION("GOOGLETRANSLATE(A191,""en"",""zh"")"),"丰田配件")</f>
        <v>丰田配件</v>
      </c>
    </row>
    <row r="192" spans="1:11" x14ac:dyDescent="0.2">
      <c r="A192" s="4" t="s">
        <v>201</v>
      </c>
      <c r="B192" s="3" t="str">
        <f t="shared" si="0"/>
        <v>Trucks</v>
      </c>
      <c r="C192" s="3" t="str">
        <f ca="1">IFERROR(__xludf.DUMMYFUNCTION("GOOGLETRANSLATE(A192,""en"",""es"")"),"Camiones")</f>
        <v>Camiones</v>
      </c>
      <c r="D192" s="3" t="str">
        <f ca="1">IFERROR(__xludf.DUMMYFUNCTION("GOOGLETRANSLATE(A192,""en"",""ca"")"),"Camions")</f>
        <v>Camions</v>
      </c>
      <c r="E192" s="3" t="str">
        <f ca="1">IFERROR(__xludf.DUMMYFUNCTION("GOOGLETRANSLATE(A192,""en"",""fr"")"),"Camions")</f>
        <v>Camions</v>
      </c>
      <c r="F192" s="3" t="str">
        <f ca="1">IFERROR(__xludf.DUMMYFUNCTION("GOOGLETRANSLATE(A192,""en"",""de"")"),"LKWs")</f>
        <v>LKWs</v>
      </c>
      <c r="G192" s="3" t="str">
        <f ca="1">IFERROR(__xludf.DUMMYFUNCTION("GOOGLETRANSLATE(A192,""en"",""it"")"),"Camion")</f>
        <v>Camion</v>
      </c>
      <c r="H192" s="3" t="str">
        <f ca="1">IFERROR(__xludf.DUMMYFUNCTION("GOOGLETRANSLATE(A192,""en"",""nl"")"),"Vrachtwagens")</f>
        <v>Vrachtwagens</v>
      </c>
      <c r="I192" s="3" t="str">
        <f ca="1">IFERROR(__xludf.DUMMYFUNCTION("GOOGLETRANSLATE(A192,""en"",""eu"")"),"Kamioiak")</f>
        <v>Kamioiak</v>
      </c>
      <c r="J192" s="3" t="str">
        <f ca="1">IFERROR(__xludf.DUMMYFUNCTION("GOOGLETRANSLATE(A192,""en"",""gl"")"),"Camións")</f>
        <v>Camións</v>
      </c>
      <c r="K192" s="3" t="str">
        <f ca="1">IFERROR(__xludf.DUMMYFUNCTION("GOOGLETRANSLATE(A192,""en"",""zh"")"),"卡车")</f>
        <v>卡车</v>
      </c>
    </row>
    <row r="193" spans="1:25" x14ac:dyDescent="0.2">
      <c r="A193" s="4" t="s">
        <v>202</v>
      </c>
      <c r="B193" s="3" t="str">
        <f t="shared" si="0"/>
        <v>Uh oh, NO match found!</v>
      </c>
      <c r="C193" s="3" t="str">
        <f ca="1">IFERROR(__xludf.DUMMYFUNCTION("GOOGLETRANSLATE(A193,""en"",""es"")"),"Oh oh, ¡NO se encontró ninguna coincidencia!")</f>
        <v>Oh oh, ¡NO se encontró ninguna coincidencia!</v>
      </c>
      <c r="D193" s="3" t="str">
        <f ca="1">IFERROR(__xludf.DUMMYFUNCTION("GOOGLETRANSLATE(A193,""en"",""ca"")"),"Uh oh, NO s'ha trobat cap coincidència!")</f>
        <v>Uh oh, NO s'ha trobat cap coincidència!</v>
      </c>
      <c r="E193" s="3" t="str">
        <f ca="1">IFERROR(__xludf.DUMMYFUNCTION("GOOGLETRANSLATE(A193,""en"",""fr"")"),"Oh oh, AUCUNE correspondance trouvée !")</f>
        <v>Oh oh, AUCUNE correspondance trouvée !</v>
      </c>
      <c r="F193" s="3" t="str">
        <f ca="1">IFERROR(__xludf.DUMMYFUNCTION("GOOGLETRANSLATE(A193,""en"",""de"")"),"Oh oh, KEINE Übereinstimmung gefunden!")</f>
        <v>Oh oh, KEINE Übereinstimmung gefunden!</v>
      </c>
      <c r="G193" s="3" t="str">
        <f ca="1">IFERROR(__xludf.DUMMYFUNCTION("GOOGLETRANSLATE(A193,""en"",""it"")"),"Uh oh, NESSUNA corrispondenza trovata!")</f>
        <v>Uh oh, NESSUNA corrispondenza trovata!</v>
      </c>
      <c r="H193" s="3" t="str">
        <f ca="1">IFERROR(__xludf.DUMMYFUNCTION("GOOGLETRANSLATE(A193,""en"",""nl"")"),"Oh oh, GEEN match gevonden!")</f>
        <v>Oh oh, GEEN match gevonden!</v>
      </c>
      <c r="I193" s="3" t="str">
        <f ca="1">IFERROR(__xludf.DUMMYFUNCTION("GOOGLETRANSLATE(A193,""en"",""eu"")"),"Uh oh, EZ da parekorik aurkitu!")</f>
        <v>Uh oh, EZ da parekorik aurkitu!</v>
      </c>
      <c r="J193" s="3" t="str">
        <f ca="1">IFERROR(__xludf.DUMMYFUNCTION("GOOGLETRANSLATE(A193,""en"",""gl"")"),"Non se atopou ningunha coincidencia!")</f>
        <v>Non se atopou ningunha coincidencia!</v>
      </c>
      <c r="K193" s="3" t="str">
        <f ca="1">IFERROR(__xludf.DUMMYFUNCTION("GOOGLETRANSLATE(A193,""en"",""zh"")"),"呃哦，没有找到匹配的！")</f>
        <v>呃哦，没有找到匹配的！</v>
      </c>
    </row>
    <row r="194" spans="1:25" x14ac:dyDescent="0.2">
      <c r="A194" s="4" t="s">
        <v>203</v>
      </c>
      <c r="B194" s="3" t="str">
        <f t="shared" si="0"/>
        <v>Update DB!</v>
      </c>
      <c r="C194" s="3" t="str">
        <f ca="1">IFERROR(__xludf.DUMMYFUNCTION("GOOGLETRANSLATE(A194,""en"",""es"")"),"¡Actualiza la base de datos!")</f>
        <v>¡Actualiza la base de datos!</v>
      </c>
      <c r="D194" s="3" t="str">
        <f ca="1">IFERROR(__xludf.DUMMYFUNCTION("GOOGLETRANSLATE(A194,""en"",""ca"")"),"Actualitza la base de dades!")</f>
        <v>Actualitza la base de dades!</v>
      </c>
      <c r="E194" s="3" t="str">
        <f ca="1">IFERROR(__xludf.DUMMYFUNCTION("GOOGLETRANSLATE(A194,""en"",""fr"")"),"Mettez à jour la base de données !")</f>
        <v>Mettez à jour la base de données !</v>
      </c>
      <c r="F194" s="3" t="str">
        <f ca="1">IFERROR(__xludf.DUMMYFUNCTION("GOOGLETRANSLATE(A194,""en"",""de"")"),"DB aktualisieren!")</f>
        <v>DB aktualisieren!</v>
      </c>
      <c r="G194" s="3" t="str">
        <f ca="1">IFERROR(__xludf.DUMMYFUNCTION("GOOGLETRANSLATE(A194,""en"",""it"")"),"Aggiorna DB!")</f>
        <v>Aggiorna DB!</v>
      </c>
      <c r="H194" s="3" t="str">
        <f ca="1">IFERROR(__xludf.DUMMYFUNCTION("GOOGLETRANSLATE(A194,""en"",""nl"")"),"DB bijwerken!")</f>
        <v>DB bijwerken!</v>
      </c>
      <c r="I194" s="3" t="str">
        <f ca="1">IFERROR(__xludf.DUMMYFUNCTION("GOOGLETRANSLATE(A194,""en"",""eu"")"),"Eguneratu DB!")</f>
        <v>Eguneratu DB!</v>
      </c>
      <c r="J194" s="3" t="str">
        <f ca="1">IFERROR(__xludf.DUMMYFUNCTION("GOOGLETRANSLATE(A194,""en"",""gl"")"),"Actualizar DB!")</f>
        <v>Actualizar DB!</v>
      </c>
      <c r="K194" s="3" t="str">
        <f ca="1">IFERROR(__xludf.DUMMYFUNCTION("GOOGLETRANSLATE(A194,""en"",""zh"")"),"更新数据库！")</f>
        <v>更新数据库！</v>
      </c>
    </row>
    <row r="195" spans="1:25" x14ac:dyDescent="0.2">
      <c r="A195" s="4" t="s">
        <v>204</v>
      </c>
      <c r="B195" s="3" t="str">
        <f t="shared" si="0"/>
        <v>Unable to draw this key</v>
      </c>
      <c r="C195" s="3" t="str">
        <f ca="1">IFERROR(__xludf.DUMMYFUNCTION("GOOGLETRANSLATE(A195,""en"",""es"")"),"No se puede extraer esta clave")</f>
        <v>No se puede extraer esta clave</v>
      </c>
      <c r="D195" s="3" t="str">
        <f ca="1">IFERROR(__xludf.DUMMYFUNCTION("GOOGLETRANSLATE(A195,""en"",""ca"")"),"No es pot dibuixar aquesta clau")</f>
        <v>No es pot dibuixar aquesta clau</v>
      </c>
      <c r="E195" s="3" t="str">
        <f ca="1">IFERROR(__xludf.DUMMYFUNCTION("GOOGLETRANSLATE(A195,""en"",""fr"")"),"Impossible de dessiner cette clé")</f>
        <v>Impossible de dessiner cette clé</v>
      </c>
      <c r="F195" s="3" t="str">
        <f ca="1">IFERROR(__xludf.DUMMYFUNCTION("GOOGLETRANSLATE(A195,""en"",""de"")"),"Dieser Schlüssel kann nicht gezeichnet werden")</f>
        <v>Dieser Schlüssel kann nicht gezeichnet werden</v>
      </c>
      <c r="G195" s="3" t="str">
        <f ca="1">IFERROR(__xludf.DUMMYFUNCTION("GOOGLETRANSLATE(A195,""en"",""it"")"),"Impossibile estrarre questa chiave")</f>
        <v>Impossibile estrarre questa chiave</v>
      </c>
      <c r="H195" s="3" t="str">
        <f ca="1">IFERROR(__xludf.DUMMYFUNCTION("GOOGLETRANSLATE(A195,""en"",""nl"")"),"Kan deze sleutel niet tekenen")</f>
        <v>Kan deze sleutel niet tekenen</v>
      </c>
      <c r="I195" s="3" t="str">
        <f ca="1">IFERROR(__xludf.DUMMYFUNCTION("GOOGLETRANSLATE(A195,""en"",""eu"")"),"Ezin da gako hau marraztu")</f>
        <v>Ezin da gako hau marraztu</v>
      </c>
      <c r="J195" s="3" t="str">
        <f ca="1">IFERROR(__xludf.DUMMYFUNCTION("GOOGLETRANSLATE(A195,""en"",""gl"")"),"Non se puido debuxar esta chave")</f>
        <v>Non se puido debuxar esta chave</v>
      </c>
      <c r="K195" s="3" t="str">
        <f ca="1">IFERROR(__xludf.DUMMYFUNCTION("GOOGLETRANSLATE(A195,""en"",""zh"")"),"无法绘制此键")</f>
        <v>无法绘制此键</v>
      </c>
    </row>
    <row r="196" spans="1:25" x14ac:dyDescent="0.2">
      <c r="A196" s="4" t="s">
        <v>205</v>
      </c>
      <c r="B196" s="3" t="str">
        <f t="shared" si="0"/>
        <v>User Feedback</v>
      </c>
      <c r="C196" s="3" t="str">
        <f ca="1">IFERROR(__xludf.DUMMYFUNCTION("GOOGLETRANSLATE(A196,""en"",""es"")"),"Comentarios del usuario")</f>
        <v>Comentarios del usuario</v>
      </c>
      <c r="D196" s="3" t="str">
        <f ca="1">IFERROR(__xludf.DUMMYFUNCTION("GOOGLETRANSLATE(A196,""en"",""ca"")"),"Comentaris dels usuaris")</f>
        <v>Comentaris dels usuaris</v>
      </c>
      <c r="E196" s="3" t="str">
        <f ca="1">IFERROR(__xludf.DUMMYFUNCTION("GOOGLETRANSLATE(A196,""en"",""fr"")"),"Commentaires des utilisateurs")</f>
        <v>Commentaires des utilisateurs</v>
      </c>
      <c r="F196" s="3" t="str">
        <f ca="1">IFERROR(__xludf.DUMMYFUNCTION("GOOGLETRANSLATE(A196,""en"",""de"")"),"Benutzer-Feedback")</f>
        <v>Benutzer-Feedback</v>
      </c>
      <c r="G196" s="3" t="str">
        <f ca="1">IFERROR(__xludf.DUMMYFUNCTION("GOOGLETRANSLATE(A196,""en"",""it"")"),"Feedback degli utenti")</f>
        <v>Feedback degli utenti</v>
      </c>
      <c r="H196" s="3" t="str">
        <f ca="1">IFERROR(__xludf.DUMMYFUNCTION("GOOGLETRANSLATE(A196,""en"",""nl"")"),"Gebruikersfeedback")</f>
        <v>Gebruikersfeedback</v>
      </c>
      <c r="I196" s="3" t="str">
        <f ca="1">IFERROR(__xludf.DUMMYFUNCTION("GOOGLETRANSLATE(A196,""en"",""eu"")"),"Erabiltzaileen iritzia")</f>
        <v>Erabiltzaileen iritzia</v>
      </c>
      <c r="J196" s="3" t="str">
        <f ca="1">IFERROR(__xludf.DUMMYFUNCTION("GOOGLETRANSLATE(A196,""en"",""gl"")"),"Comentarios dos usuarios")</f>
        <v>Comentarios dos usuarios</v>
      </c>
      <c r="K196" s="3" t="str">
        <f ca="1">IFERROR(__xludf.DUMMYFUNCTION("GOOGLETRANSLATE(A196,""en"",""zh"")"),"用户反馈")</f>
        <v>用户反馈</v>
      </c>
    </row>
    <row r="197" spans="1:25" x14ac:dyDescent="0.2">
      <c r="A197" s="4" t="s">
        <v>206</v>
      </c>
      <c r="B197" s="3" t="str">
        <f t="shared" si="0"/>
        <v>User Feedback Unavailable at this time</v>
      </c>
      <c r="C197" s="3" t="str">
        <f ca="1">IFERROR(__xludf.DUMMYFUNCTION("GOOGLETRANSLATE(A197,""en"",""es"")"),"Comentarios de usuarios no disponibles en este momento")</f>
        <v>Comentarios de usuarios no disponibles en este momento</v>
      </c>
      <c r="D197" s="3" t="str">
        <f ca="1">IFERROR(__xludf.DUMMYFUNCTION("GOOGLETRANSLATE(A197,""en"",""ca"")"),"Els comentaris dels usuaris no estan disponibles en aquest moment")</f>
        <v>Els comentaris dels usuaris no estan disponibles en aquest moment</v>
      </c>
      <c r="E197" s="3" t="str">
        <f ca="1">IFERROR(__xludf.DUMMYFUNCTION("GOOGLETRANSLATE(A197,""en"",""fr"")"),"Commentaires des utilisateurs non disponibles pour le moment")</f>
        <v>Commentaires des utilisateurs non disponibles pour le moment</v>
      </c>
      <c r="F197" s="3" t="str">
        <f ca="1">IFERROR(__xludf.DUMMYFUNCTION("GOOGLETRANSLATE(A197,""en"",""de"")"),"Benutzer-Feedback Derzeit nicht verfügbar")</f>
        <v>Benutzer-Feedback Derzeit nicht verfügbar</v>
      </c>
      <c r="G197" s="3" t="str">
        <f ca="1">IFERROR(__xludf.DUMMYFUNCTION("GOOGLETRANSLATE(A197,""en"",""it"")"),"Feedback utente Non disponibile in questo momento")</f>
        <v>Feedback utente Non disponibile in questo momento</v>
      </c>
      <c r="H197" s="3" t="str">
        <f ca="1">IFERROR(__xludf.DUMMYFUNCTION("GOOGLETRANSLATE(A197,""en"",""nl"")"),"Gebruikersfeedback Momenteel niet beschikbaar")</f>
        <v>Gebruikersfeedback Momenteel niet beschikbaar</v>
      </c>
      <c r="I197" s="3" t="str">
        <f ca="1">IFERROR(__xludf.DUMMYFUNCTION("GOOGLETRANSLATE(A197,""en"",""eu"")"),"Erabiltzaileen iritzia ez dago erabilgarri une honetan")</f>
        <v>Erabiltzaileen iritzia ez dago erabilgarri une honetan</v>
      </c>
      <c r="J197" s="3" t="str">
        <f ca="1">IFERROR(__xludf.DUMMYFUNCTION("GOOGLETRANSLATE(A197,""en"",""gl"")"),"O comentario do usuario non está dispoñible neste momento")</f>
        <v>O comentario do usuario non está dispoñible neste momento</v>
      </c>
      <c r="K197" s="3" t="str">
        <f ca="1">IFERROR(__xludf.DUMMYFUNCTION("GOOGLETRANSLATE(A197,""en"",""zh"")"),"目前无法提供用户反馈")</f>
        <v>目前无法提供用户反馈</v>
      </c>
    </row>
    <row r="198" spans="1:25" x14ac:dyDescent="0.2">
      <c r="A198" s="4" t="s">
        <v>207</v>
      </c>
      <c r="B198" s="3" t="str">
        <f t="shared" si="0"/>
        <v>User Name</v>
      </c>
      <c r="C198" s="3" t="str">
        <f ca="1">IFERROR(__xludf.DUMMYFUNCTION("GOOGLETRANSLATE(A198,""en"",""es"")"),"Nombre de usuario")</f>
        <v>Nombre de usuario</v>
      </c>
      <c r="D198" s="3" t="str">
        <f ca="1">IFERROR(__xludf.DUMMYFUNCTION("GOOGLETRANSLATE(A198,""en"",""ca"")"),"Nom d'usuari")</f>
        <v>Nom d'usuari</v>
      </c>
      <c r="E198" s="3" t="str">
        <f ca="1">IFERROR(__xludf.DUMMYFUNCTION("GOOGLETRANSLATE(A198,""en"",""fr"")"),"Nom d'utilisateur")</f>
        <v>Nom d'utilisateur</v>
      </c>
      <c r="F198" s="3" t="str">
        <f ca="1">IFERROR(__xludf.DUMMYFUNCTION("GOOGLETRANSLATE(A198,""en"",""de"")"),"Benutzername")</f>
        <v>Benutzername</v>
      </c>
      <c r="G198" s="3" t="str">
        <f ca="1">IFERROR(__xludf.DUMMYFUNCTION("GOOGLETRANSLATE(A198,""en"",""it"")"),"Nome utente")</f>
        <v>Nome utente</v>
      </c>
      <c r="H198" s="3" t="str">
        <f ca="1">IFERROR(__xludf.DUMMYFUNCTION("GOOGLETRANSLATE(A198,""en"",""nl"")"),"Gebruikersnaam")</f>
        <v>Gebruikersnaam</v>
      </c>
      <c r="I198" s="3" t="str">
        <f ca="1">IFERROR(__xludf.DUMMYFUNCTION("GOOGLETRANSLATE(A198,""en"",""eu"")"),"Erabiltzaile izena")</f>
        <v>Erabiltzaile izena</v>
      </c>
      <c r="J198" s="3" t="str">
        <f ca="1">IFERROR(__xludf.DUMMYFUNCTION("GOOGLETRANSLATE(A198,""en"",""gl"")"),"Nome de usuario")</f>
        <v>Nome de usuario</v>
      </c>
      <c r="K198" s="3" t="str">
        <f ca="1">IFERROR(__xludf.DUMMYFUNCTION("GOOGLETRANSLATE(A198,""en"",""zh"")"),"用户名")</f>
        <v>用户名</v>
      </c>
    </row>
    <row r="199" spans="1:25" x14ac:dyDescent="0.2">
      <c r="A199" s="4" t="s">
        <v>208</v>
      </c>
      <c r="B199" s="3" t="str">
        <f t="shared" si="0"/>
        <v>Vehicles</v>
      </c>
      <c r="C199" s="3" t="str">
        <f ca="1">IFERROR(__xludf.DUMMYFUNCTION("GOOGLETRANSLATE(A199,""en"",""es"")"),"Vehículos")</f>
        <v>Vehículos</v>
      </c>
      <c r="D199" s="3" t="str">
        <f ca="1">IFERROR(__xludf.DUMMYFUNCTION("GOOGLETRANSLATE(A199,""en"",""ca"")"),"Vehicles")</f>
        <v>Vehicles</v>
      </c>
      <c r="E199" s="3" t="str">
        <f ca="1">IFERROR(__xludf.DUMMYFUNCTION("GOOGLETRANSLATE(A199,""en"",""fr"")"),"Véhicules")</f>
        <v>Véhicules</v>
      </c>
      <c r="F199" s="3" t="str">
        <f ca="1">IFERROR(__xludf.DUMMYFUNCTION("GOOGLETRANSLATE(A199,""en"",""de"")"),"Fahrzeuge")</f>
        <v>Fahrzeuge</v>
      </c>
      <c r="G199" s="3" t="str">
        <f ca="1">IFERROR(__xludf.DUMMYFUNCTION("GOOGLETRANSLATE(A199,""en"",""it"")"),"Veicoli")</f>
        <v>Veicoli</v>
      </c>
      <c r="H199" s="3" t="str">
        <f ca="1">IFERROR(__xludf.DUMMYFUNCTION("GOOGLETRANSLATE(A199,""en"",""nl"")"),"Voertuigen")</f>
        <v>Voertuigen</v>
      </c>
      <c r="I199" s="3" t="str">
        <f ca="1">IFERROR(__xludf.DUMMYFUNCTION("GOOGLETRANSLATE(A199,""en"",""eu"")"),"Ibilgailuak")</f>
        <v>Ibilgailuak</v>
      </c>
      <c r="J199" s="3" t="str">
        <f ca="1">IFERROR(__xludf.DUMMYFUNCTION("GOOGLETRANSLATE(A199,""en"",""gl"")"),"Vehículos")</f>
        <v>Vehículos</v>
      </c>
      <c r="K199" s="3" t="str">
        <f ca="1">IFERROR(__xludf.DUMMYFUNCTION("GOOGLETRANSLATE(A199,""en"",""zh"")"),"车辆")</f>
        <v>车辆</v>
      </c>
    </row>
    <row r="200" spans="1:25" x14ac:dyDescent="0.2">
      <c r="A200" s="4" t="s">
        <v>209</v>
      </c>
      <c r="B200" s="3" t="str">
        <f t="shared" si="0"/>
        <v>Vehicles in LARA</v>
      </c>
      <c r="C200" s="3" t="str">
        <f ca="1">IFERROR(__xludf.DUMMYFUNCTION("GOOGLETRANSLATE(A200,""en"",""es"")"),"Vehículos en LARA")</f>
        <v>Vehículos en LARA</v>
      </c>
      <c r="D200" s="3" t="str">
        <f ca="1">IFERROR(__xludf.DUMMYFUNCTION("GOOGLETRANSLATE(A200,""en"",""ca"")"),"Vehicles a LARA")</f>
        <v>Vehicles a LARA</v>
      </c>
      <c r="E200" s="3" t="str">
        <f ca="1">IFERROR(__xludf.DUMMYFUNCTION("GOOGLETRANSLATE(A200,""en"",""fr"")"),"Véhicules à LARA")</f>
        <v>Véhicules à LARA</v>
      </c>
      <c r="F200" s="3" t="str">
        <f ca="1">IFERROR(__xludf.DUMMYFUNCTION("GOOGLETRANSLATE(A200,""en"",""de"")"),"Fahrzeuge in LARA")</f>
        <v>Fahrzeuge in LARA</v>
      </c>
      <c r="G200" s="3" t="str">
        <f ca="1">IFERROR(__xludf.DUMMYFUNCTION("GOOGLETRANSLATE(A200,""en"",""it"")"),"Veicoli a LARA")</f>
        <v>Veicoli a LARA</v>
      </c>
      <c r="H200" s="3" t="str">
        <f ca="1">IFERROR(__xludf.DUMMYFUNCTION("GOOGLETRANSLATE(A200,""en"",""nl"")"),"Voertuigen in LARA")</f>
        <v>Voertuigen in LARA</v>
      </c>
      <c r="I200" s="3" t="str">
        <f ca="1">IFERROR(__xludf.DUMMYFUNCTION("GOOGLETRANSLATE(A200,""en"",""eu"")"),"Ibilgailuak LARAn")</f>
        <v>Ibilgailuak LARAn</v>
      </c>
      <c r="J200" s="3" t="str">
        <f ca="1">IFERROR(__xludf.DUMMYFUNCTION("GOOGLETRANSLATE(A200,""en"",""gl"")"),"Vehículos en LARA")</f>
        <v>Vehículos en LARA</v>
      </c>
      <c r="K200" s="3" t="str">
        <f ca="1">IFERROR(__xludf.DUMMYFUNCTION("GOOGLETRANSLATE(A200,""en"",""zh"")"),"拉拉的车辆")</f>
        <v>拉拉的车辆</v>
      </c>
    </row>
    <row r="201" spans="1:25" x14ac:dyDescent="0.2">
      <c r="A201" s="4" t="s">
        <v>210</v>
      </c>
      <c r="B201" s="3" t="str">
        <f t="shared" si="0"/>
        <v>Vehicle Month/Year</v>
      </c>
      <c r="C201" s="3" t="str">
        <f ca="1">IFERROR(__xludf.DUMMYFUNCTION("GOOGLETRANSLATE(A201,""en"",""es"")"),"Mes/Año del vehículo")</f>
        <v>Mes/Año del vehículo</v>
      </c>
      <c r="D201" s="3" t="str">
        <f ca="1">IFERROR(__xludf.DUMMYFUNCTION("GOOGLETRANSLATE(A201,""en"",""ca"")"),"Vehicle Mes/Any")</f>
        <v>Vehicle Mes/Any</v>
      </c>
      <c r="E201" s="3" t="str">
        <f ca="1">IFERROR(__xludf.DUMMYFUNCTION("GOOGLETRANSLATE(A201,""en"",""fr"")"),"Véhicule Mois/Année")</f>
        <v>Véhicule Mois/Année</v>
      </c>
      <c r="F201" s="3" t="str">
        <f ca="1">IFERROR(__xludf.DUMMYFUNCTION("GOOGLETRANSLATE(A201,""en"",""de"")"),"Fahrzeug Monat/Jahr")</f>
        <v>Fahrzeug Monat/Jahr</v>
      </c>
      <c r="G201" s="3" t="str">
        <f ca="1">IFERROR(__xludf.DUMMYFUNCTION("GOOGLETRANSLATE(A201,""en"",""it"")"),"Mese/anno del veicolo")</f>
        <v>Mese/anno del veicolo</v>
      </c>
      <c r="H201" s="3" t="str">
        <f ca="1">IFERROR(__xludf.DUMMYFUNCTION("GOOGLETRANSLATE(A201,""en"",""nl"")"),"Voertuigmaand/jaar")</f>
        <v>Voertuigmaand/jaar</v>
      </c>
      <c r="I201" s="3" t="str">
        <f ca="1">IFERROR(__xludf.DUMMYFUNCTION("GOOGLETRANSLATE(A201,""en"",""eu"")"),"Ibilgailuaren hilabetea/urtea")</f>
        <v>Ibilgailuaren hilabetea/urtea</v>
      </c>
      <c r="J201" s="3" t="str">
        <f ca="1">IFERROR(__xludf.DUMMYFUNCTION("GOOGLETRANSLATE(A201,""en"",""gl"")"),"Vehículo Mes/Ano")</f>
        <v>Vehículo Mes/Ano</v>
      </c>
      <c r="K201" s="3" t="str">
        <f ca="1">IFERROR(__xludf.DUMMYFUNCTION("GOOGLETRANSLATE(A201,""en"",""zh"")"),"车辆月/年")</f>
        <v>车辆月/年</v>
      </c>
    </row>
    <row r="202" spans="1:25" x14ac:dyDescent="0.2">
      <c r="A202" s="4" t="s">
        <v>211</v>
      </c>
      <c r="B202" s="3" t="str">
        <f t="shared" si="0"/>
        <v>View Car Manufacturers</v>
      </c>
      <c r="C202" s="3" t="str">
        <f ca="1">IFERROR(__xludf.DUMMYFUNCTION("GOOGLETRANSLATE(A202,""en"",""es"")"),"Ver fabricantes de automóviles")</f>
        <v>Ver fabricantes de automóviles</v>
      </c>
      <c r="D202" s="3" t="str">
        <f ca="1">IFERROR(__xludf.DUMMYFUNCTION("GOOGLETRANSLATE(A202,""en"",""ca"")"),"Veure fabricants d'automòbils")</f>
        <v>Veure fabricants d'automòbils</v>
      </c>
      <c r="E202" s="3" t="str">
        <f ca="1">IFERROR(__xludf.DUMMYFUNCTION("GOOGLETRANSLATE(A202,""en"",""fr"")"),"Voir les constructeurs automobiles")</f>
        <v>Voir les constructeurs automobiles</v>
      </c>
      <c r="F202" s="3" t="str">
        <f ca="1">IFERROR(__xludf.DUMMYFUNCTION("GOOGLETRANSLATE(A202,""en"",""de"")"),"Autohersteller anzeigen")</f>
        <v>Autohersteller anzeigen</v>
      </c>
      <c r="G202" s="3" t="str">
        <f ca="1">IFERROR(__xludf.DUMMYFUNCTION("GOOGLETRANSLATE(A202,""en"",""it"")"),"Visualizza i produttori di automobili")</f>
        <v>Visualizza i produttori di automobili</v>
      </c>
      <c r="H202" s="3" t="str">
        <f ca="1">IFERROR(__xludf.DUMMYFUNCTION("GOOGLETRANSLATE(A202,""en"",""nl"")"),"Bekijk autofabrikanten")</f>
        <v>Bekijk autofabrikanten</v>
      </c>
      <c r="I202" s="3" t="str">
        <f ca="1">IFERROR(__xludf.DUMMYFUNCTION("GOOGLETRANSLATE(A202,""en"",""eu"")"),"Ikusi Autoen Fabrikatzaileak")</f>
        <v>Ikusi Autoen Fabrikatzaileak</v>
      </c>
      <c r="J202" s="3" t="str">
        <f ca="1">IFERROR(__xludf.DUMMYFUNCTION("GOOGLETRANSLATE(A202,""en"",""gl"")"),"Ver fabricantes de automóbiles")</f>
        <v>Ver fabricantes de automóbiles</v>
      </c>
      <c r="K202" s="3" t="str">
        <f ca="1">IFERROR(__xludf.DUMMYFUNCTION("GOOGLETRANSLATE(A202,""en"",""zh"")"),"查看汽车制造商")</f>
        <v>查看汽车制造商</v>
      </c>
    </row>
    <row r="203" spans="1:25" x14ac:dyDescent="0.2">
      <c r="A203" s="4" t="s">
        <v>212</v>
      </c>
      <c r="B203" s="3" t="str">
        <f t="shared" si="0"/>
        <v>Verifying Your Bitting</v>
      </c>
      <c r="C203" s="3" t="str">
        <f ca="1">IFERROR(__xludf.DUMMYFUNCTION("GOOGLETRANSLATE(A203,""en"",""es"")"),"Verificando tu mordida")</f>
        <v>Verificando tu mordida</v>
      </c>
      <c r="D203" s="3" t="str">
        <f ca="1">IFERROR(__xludf.DUMMYFUNCTION("GOOGLETRANSLATE(A203,""en"",""ca"")"),"Verificant la teva mossegada")</f>
        <v>Verificant la teva mossegada</v>
      </c>
      <c r="E203" s="3" t="str">
        <f ca="1">IFERROR(__xludf.DUMMYFUNCTION("GOOGLETRANSLATE(A203,""en"",""fr"")"),"Vérifier votre morsure")</f>
        <v>Vérifier votre morsure</v>
      </c>
      <c r="F203" s="3" t="str">
        <f ca="1">IFERROR(__xludf.DUMMYFUNCTION("GOOGLETRANSLATE(A203,""en"",""de"")"),"Überprüfen Sie Ihr Gebiss")</f>
        <v>Überprüfen Sie Ihr Gebiss</v>
      </c>
      <c r="G203" s="3" t="str">
        <f ca="1">IFERROR(__xludf.DUMMYFUNCTION("GOOGLETRANSLATE(A203,""en"",""it"")"),"Verifica della tua cifratura")</f>
        <v>Verifica della tua cifratura</v>
      </c>
      <c r="H203" s="3" t="str">
        <f ca="1">IFERROR(__xludf.DUMMYFUNCTION("GOOGLETRANSLATE(A203,""en"",""nl"")"),"Uw bijt verifiëren")</f>
        <v>Uw bijt verifiëren</v>
      </c>
      <c r="I203" s="3" t="str">
        <f ca="1">IFERROR(__xludf.DUMMYFUNCTION("GOOGLETRANSLATE(A203,""en"",""eu"")"),"Zure ziztada egiaztatzea")</f>
        <v>Zure ziztada egiaztatzea</v>
      </c>
      <c r="J203" s="3" t="str">
        <f ca="1">IFERROR(__xludf.DUMMYFUNCTION("GOOGLETRANSLATE(A203,""en"",""gl"")"),"Verificando a súa mordida")</f>
        <v>Verificando a súa mordida</v>
      </c>
      <c r="K203" s="3" t="str">
        <f ca="1">IFERROR(__xludf.DUMMYFUNCTION("GOOGLETRANSLATE(A203,""en"",""zh"")"),"验证你的咬合情况")</f>
        <v>验证你的咬合情况</v>
      </c>
    </row>
    <row r="204" spans="1:25" x14ac:dyDescent="0.2">
      <c r="A204" s="4" t="s">
        <v>213</v>
      </c>
      <c r="B204" s="4" t="str">
        <f t="shared" si="0"/>
        <v>VIN to PIN</v>
      </c>
      <c r="C204" s="4" t="str">
        <f ca="1">IFERROR(__xludf.DUMMYFUNCTION("GOOGLETRANSLATE(A204,""en"",""es"")"),"Número de bastidor a PIN")</f>
        <v>Número de bastidor a PIN</v>
      </c>
      <c r="D204" s="4" t="str">
        <f ca="1">IFERROR(__xludf.DUMMYFUNCTION("GOOGLETRANSLATE(A204,""en"",""ca"")"),"VIN a PIN")</f>
        <v>VIN a PIN</v>
      </c>
      <c r="E204" s="4" t="str">
        <f ca="1">IFERROR(__xludf.DUMMYFUNCTION("GOOGLETRANSLATE(A204,""en"",""fr"")"),"NIV à PIN")</f>
        <v>NIV à PIN</v>
      </c>
      <c r="F204" s="4" t="str">
        <f ca="1">IFERROR(__xludf.DUMMYFUNCTION("GOOGLETRANSLATE(A204,""en"",""de"")"),"VIN zu PIN")</f>
        <v>VIN zu PIN</v>
      </c>
      <c r="G204" s="4" t="str">
        <f ca="1">IFERROR(__xludf.DUMMYFUNCTION("GOOGLETRANSLATE(A204,""en"",""it"")"),"VIN al PIN")</f>
        <v>VIN al PIN</v>
      </c>
      <c r="H204" s="4" t="str">
        <f ca="1">IFERROR(__xludf.DUMMYFUNCTION("GOOGLETRANSLATE(A204,""en"",""nl"")"),"VIN naar PIN")</f>
        <v>VIN naar PIN</v>
      </c>
      <c r="I204" s="4" t="str">
        <f ca="1">IFERROR(__xludf.DUMMYFUNCTION("GOOGLETRANSLATE(A204,""en"",""eu"")"),"VINetik PINera")</f>
        <v>VINetik PINera</v>
      </c>
      <c r="J204" s="4" t="str">
        <f ca="1">IFERROR(__xludf.DUMMYFUNCTION("GOOGLETRANSLATE(A204,""en"",""gl"")"),"VIN para PIN")</f>
        <v>VIN para PIN</v>
      </c>
      <c r="K204" s="4" t="str">
        <f ca="1">IFERROR(__xludf.DUMMYFUNCTION("GOOGLETRANSLATE(A204,""en"",""zh"")"),"车辆识别号 (VIN) 至 PIN 码")</f>
        <v>车辆识别号 (VIN) 至 PIN 码</v>
      </c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</row>
    <row r="205" spans="1:25" x14ac:dyDescent="0.2">
      <c r="A205" s="4" t="s">
        <v>214</v>
      </c>
      <c r="B205" s="3" t="str">
        <f t="shared" si="0"/>
        <v>Want</v>
      </c>
      <c r="C205" s="3" t="str">
        <f ca="1">IFERROR(__xludf.DUMMYFUNCTION("GOOGLETRANSLATE(A205,""en"",""es"")"),"Desear")</f>
        <v>Desear</v>
      </c>
      <c r="D205" s="3" t="str">
        <f ca="1">IFERROR(__xludf.DUMMYFUNCTION("GOOGLETRANSLATE(A205,""en"",""ca"")"),"Vol")</f>
        <v>Vol</v>
      </c>
      <c r="E205" s="3" t="str">
        <f ca="1">IFERROR(__xludf.DUMMYFUNCTION("GOOGLETRANSLATE(A205,""en"",""fr"")"),"Vouloir")</f>
        <v>Vouloir</v>
      </c>
      <c r="F205" s="3" t="str">
        <f ca="1">IFERROR(__xludf.DUMMYFUNCTION("GOOGLETRANSLATE(A205,""en"",""de"")"),"Wollen")</f>
        <v>Wollen</v>
      </c>
      <c r="G205" s="3" t="str">
        <f ca="1">IFERROR(__xludf.DUMMYFUNCTION("GOOGLETRANSLATE(A205,""en"",""it"")"),"Volere")</f>
        <v>Volere</v>
      </c>
      <c r="H205" s="3" t="str">
        <f ca="1">IFERROR(__xludf.DUMMYFUNCTION("GOOGLETRANSLATE(A205,""en"",""nl"")"),"Wil")</f>
        <v>Wil</v>
      </c>
      <c r="I205" s="3" t="str">
        <f ca="1">IFERROR(__xludf.DUMMYFUNCTION("GOOGLETRANSLATE(A205,""en"",""eu"")"),"Nahi")</f>
        <v>Nahi</v>
      </c>
      <c r="J205" s="3" t="str">
        <f ca="1">IFERROR(__xludf.DUMMYFUNCTION("GOOGLETRANSLATE(A205,""en"",""gl"")"),"Querer")</f>
        <v>Querer</v>
      </c>
      <c r="K205" s="3" t="str">
        <f ca="1">IFERROR(__xludf.DUMMYFUNCTION("GOOGLETRANSLATE(A205,""en"",""zh"")"),"想")</f>
        <v>想</v>
      </c>
    </row>
    <row r="206" spans="1:25" x14ac:dyDescent="0.2">
      <c r="A206" s="4" t="s">
        <v>215</v>
      </c>
      <c r="B206" s="3" t="str">
        <f t="shared" si="0"/>
        <v>Welcome to</v>
      </c>
      <c r="C206" s="3" t="str">
        <f ca="1">IFERROR(__xludf.DUMMYFUNCTION("GOOGLETRANSLATE(A206,""en"",""es"")"),"Bienvenido a")</f>
        <v>Bienvenido a</v>
      </c>
      <c r="D206" s="3" t="str">
        <f ca="1">IFERROR(__xludf.DUMMYFUNCTION("GOOGLETRANSLATE(A206,""en"",""ca"")"),"Benvingut a")</f>
        <v>Benvingut a</v>
      </c>
      <c r="E206" s="3" t="str">
        <f ca="1">IFERROR(__xludf.DUMMYFUNCTION("GOOGLETRANSLATE(A206,""en"",""fr"")"),"Bienvenue à")</f>
        <v>Bienvenue à</v>
      </c>
      <c r="F206" s="3" t="str">
        <f ca="1">IFERROR(__xludf.DUMMYFUNCTION("GOOGLETRANSLATE(A206,""en"",""de"")"),"Willkommen bei")</f>
        <v>Willkommen bei</v>
      </c>
      <c r="G206" s="3" t="str">
        <f ca="1">IFERROR(__xludf.DUMMYFUNCTION("GOOGLETRANSLATE(A206,""en"",""it"")"),"Benvenuto a")</f>
        <v>Benvenuto a</v>
      </c>
      <c r="H206" s="3" t="str">
        <f ca="1">IFERROR(__xludf.DUMMYFUNCTION("GOOGLETRANSLATE(A206,""en"",""nl"")"),"Welkom bij")</f>
        <v>Welkom bij</v>
      </c>
      <c r="I206" s="3" t="str">
        <f ca="1">IFERROR(__xludf.DUMMYFUNCTION("GOOGLETRANSLATE(A206,""en"",""eu"")"),"Ongi etorri")</f>
        <v>Ongi etorri</v>
      </c>
      <c r="J206" s="3" t="str">
        <f ca="1">IFERROR(__xludf.DUMMYFUNCTION("GOOGLETRANSLATE(A206,""en"",""gl"")"),"Benvido a")</f>
        <v>Benvido a</v>
      </c>
      <c r="K206" s="3" t="str">
        <f ca="1">IFERROR(__xludf.DUMMYFUNCTION("GOOGLETRANSLATE(A206,""en"",""zh"")"),"欢迎来到")</f>
        <v>欢迎来到</v>
      </c>
    </row>
    <row r="207" spans="1:25" x14ac:dyDescent="0.2">
      <c r="A207" s="4" t="s">
        <v>216</v>
      </c>
      <c r="B207" s="3" t="str">
        <f t="shared" si="0"/>
        <v>Welcome</v>
      </c>
      <c r="C207" s="3" t="str">
        <f ca="1">IFERROR(__xludf.DUMMYFUNCTION("GOOGLETRANSLATE(A207,""en"",""es"")"),"Bienvenido")</f>
        <v>Bienvenido</v>
      </c>
      <c r="D207" s="3" t="str">
        <f ca="1">IFERROR(__xludf.DUMMYFUNCTION("GOOGLETRANSLATE(A207,""en"",""ca"")"),"Benvingut")</f>
        <v>Benvingut</v>
      </c>
      <c r="E207" s="3" t="str">
        <f ca="1">IFERROR(__xludf.DUMMYFUNCTION("GOOGLETRANSLATE(A207,""en"",""fr"")"),"Accueillir")</f>
        <v>Accueillir</v>
      </c>
      <c r="F207" s="3" t="str">
        <f ca="1">IFERROR(__xludf.DUMMYFUNCTION("GOOGLETRANSLATE(A207,""en"",""de"")"),"Willkommen")</f>
        <v>Willkommen</v>
      </c>
      <c r="G207" s="3" t="str">
        <f ca="1">IFERROR(__xludf.DUMMYFUNCTION("GOOGLETRANSLATE(A207,""en"",""it"")"),"Benvenuto")</f>
        <v>Benvenuto</v>
      </c>
      <c r="H207" s="3" t="str">
        <f ca="1">IFERROR(__xludf.DUMMYFUNCTION("GOOGLETRANSLATE(A207,""en"",""nl"")"),"Welkom")</f>
        <v>Welkom</v>
      </c>
      <c r="I207" s="3" t="str">
        <f ca="1">IFERROR(__xludf.DUMMYFUNCTION("GOOGLETRANSLATE(A207,""en"",""eu"")"),"Ongi etorri")</f>
        <v>Ongi etorri</v>
      </c>
      <c r="J207" s="3" t="str">
        <f ca="1">IFERROR(__xludf.DUMMYFUNCTION("GOOGLETRANSLATE(A207,""en"",""gl"")"),"Benvido")</f>
        <v>Benvido</v>
      </c>
      <c r="K207" s="3" t="str">
        <f ca="1">IFERROR(__xludf.DUMMYFUNCTION("GOOGLETRANSLATE(A207,""en"",""zh"")"),"欢迎")</f>
        <v>欢迎</v>
      </c>
    </row>
    <row r="208" spans="1:25" x14ac:dyDescent="0.2">
      <c r="A208" s="4" t="s">
        <v>217</v>
      </c>
      <c r="B208" s="3" t="str">
        <f t="shared" si="0"/>
        <v>Would you close LARA now?</v>
      </c>
      <c r="C208" s="3" t="str">
        <f ca="1">IFERROR(__xludf.DUMMYFUNCTION("GOOGLETRANSLATE(A208,""en"",""es"")"),"¿Cerrarías LARA ahora?")</f>
        <v>¿Cerrarías LARA ahora?</v>
      </c>
      <c r="D208" s="3" t="str">
        <f ca="1">IFERROR(__xludf.DUMMYFUNCTION("GOOGLETRANSLATE(A208,""en"",""ca"")"),"Tancaries LARA ara?")</f>
        <v>Tancaries LARA ara?</v>
      </c>
      <c r="E208" s="3" t="str">
        <f ca="1">IFERROR(__xludf.DUMMYFUNCTION("GOOGLETRANSLATE(A208,""en"",""fr"")"),"Voudriez-vous fermer LARA maintenant ?")</f>
        <v>Voudriez-vous fermer LARA maintenant ?</v>
      </c>
      <c r="F208" s="3" t="str">
        <f ca="1">IFERROR(__xludf.DUMMYFUNCTION("GOOGLETRANSLATE(A208,""en"",""de"")"),"Würdest du LARA jetzt schließen?")</f>
        <v>Würdest du LARA jetzt schließen?</v>
      </c>
      <c r="G208" s="3" t="str">
        <f ca="1">IFERROR(__xludf.DUMMYFUNCTION("GOOGLETRANSLATE(A208,""en"",""it"")"),"Chiuderesti LARA adesso?")</f>
        <v>Chiuderesti LARA adesso?</v>
      </c>
      <c r="H208" s="3" t="str">
        <f ca="1">IFERROR(__xludf.DUMMYFUNCTION("GOOGLETRANSLATE(A208,""en"",""nl"")"),"Zou jij LARA nu sluiten?")</f>
        <v>Zou jij LARA nu sluiten?</v>
      </c>
      <c r="I208" s="3" t="str">
        <f ca="1">IFERROR(__xludf.DUMMYFUNCTION("GOOGLETRANSLATE(A208,""en"",""eu"")"),"LARA itxiko zenuke orain?")</f>
        <v>LARA itxiko zenuke orain?</v>
      </c>
      <c r="J208" s="3" t="str">
        <f ca="1">IFERROR(__xludf.DUMMYFUNCTION("GOOGLETRANSLATE(A208,""en"",""gl"")"),"Pecharías LARA agora?")</f>
        <v>Pecharías LARA agora?</v>
      </c>
      <c r="K208" s="3" t="str">
        <f ca="1">IFERROR(__xludf.DUMMYFUNCTION("GOOGLETRANSLATE(A208,""en"",""zh"")"),"现在你会关闭 LARA 吗？")</f>
        <v>现在你会关闭 LARA 吗？</v>
      </c>
    </row>
    <row r="209" spans="1:11" x14ac:dyDescent="0.2">
      <c r="A209" s="4" t="s">
        <v>218</v>
      </c>
      <c r="B209" s="3" t="str">
        <f t="shared" si="0"/>
        <v>Would you like to register LARA now?</v>
      </c>
      <c r="C209" s="3" t="str">
        <f ca="1">IFERROR(__xludf.DUMMYFUNCTION("GOOGLETRANSLATE(A209,""en"",""es"")"),"¿Quieres registrar LARA ahora?")</f>
        <v>¿Quieres registrar LARA ahora?</v>
      </c>
      <c r="D209" s="3" t="str">
        <f ca="1">IFERROR(__xludf.DUMMYFUNCTION("GOOGLETRANSLATE(A209,""en"",""ca"")"),"Vols registrar ara LARA?")</f>
        <v>Vols registrar ara LARA?</v>
      </c>
      <c r="E209" s="3" t="str">
        <f ca="1">IFERROR(__xludf.DUMMYFUNCTION("GOOGLETRANSLATE(A209,""en"",""fr"")"),"Souhaitez-vous inscrire LARA maintenant ?")</f>
        <v>Souhaitez-vous inscrire LARA maintenant ?</v>
      </c>
      <c r="F209" s="3" t="str">
        <f ca="1">IFERROR(__xludf.DUMMYFUNCTION("GOOGLETRANSLATE(A209,""en"",""de"")"),"Möchten Sie LARA jetzt registrieren?")</f>
        <v>Möchten Sie LARA jetzt registrieren?</v>
      </c>
      <c r="G209" s="3" t="str">
        <f ca="1">IFERROR(__xludf.DUMMYFUNCTION("GOOGLETRANSLATE(A209,""en"",""it"")"),"Vuoi registrare LARA adesso?")</f>
        <v>Vuoi registrare LARA adesso?</v>
      </c>
      <c r="H209" s="3" t="str">
        <f ca="1">IFERROR(__xludf.DUMMYFUNCTION("GOOGLETRANSLATE(A209,""en"",""nl"")"),"Wilt u LARA nu inschrijven?")</f>
        <v>Wilt u LARA nu inschrijven?</v>
      </c>
      <c r="I209" s="3" t="str">
        <f ca="1">IFERROR(__xludf.DUMMYFUNCTION("GOOGLETRANSLATE(A209,""en"",""eu"")"),"LARA erregistratu nahi duzu orain?")</f>
        <v>LARA erregistratu nahi duzu orain?</v>
      </c>
      <c r="J209" s="3" t="str">
        <f ca="1">IFERROR(__xludf.DUMMYFUNCTION("GOOGLETRANSLATE(A209,""en"",""gl"")"),"Queres rexistrar a LARA agora?")</f>
        <v>Queres rexistrar a LARA agora?</v>
      </c>
      <c r="K209" s="3" t="str">
        <f ca="1">IFERROR(__xludf.DUMMYFUNCTION("GOOGLETRANSLATE(A209,""en"",""zh"")"),"您想立即注册 LARA 吗？")</f>
        <v>您想立即注册 LARA 吗？</v>
      </c>
    </row>
    <row r="210" spans="1:11" x14ac:dyDescent="0.2">
      <c r="A210" s="4" t="s">
        <v>219</v>
      </c>
      <c r="B210" s="3" t="str">
        <f t="shared" si="0"/>
        <v>Wrong User ID or Password!</v>
      </c>
      <c r="C210" s="3" t="str">
        <f ca="1">IFERROR(__xludf.DUMMYFUNCTION("GOOGLETRANSLATE(A210,""en"",""es"")"),"¡ID de usuario o contraseña incorrectos!")</f>
        <v>¡ID de usuario o contraseña incorrectos!</v>
      </c>
      <c r="D210" s="3" t="str">
        <f ca="1">IFERROR(__xludf.DUMMYFUNCTION("GOOGLETRANSLATE(A210,""en"",""ca"")"),"ID d'usuari o contrasenya incorrectes!")</f>
        <v>ID d'usuari o contrasenya incorrectes!</v>
      </c>
      <c r="E210" s="3" t="str">
        <f ca="1">IFERROR(__xludf.DUMMYFUNCTION("GOOGLETRANSLATE(A210,""en"",""fr"")"),"Mauvais identifiant ou mot de passe !")</f>
        <v>Mauvais identifiant ou mot de passe !</v>
      </c>
      <c r="F210" s="3" t="str">
        <f ca="1">IFERROR(__xludf.DUMMYFUNCTION("GOOGLETRANSLATE(A210,""en"",""de"")"),"Falsche Benutzer-ID oder falsches Passwort!")</f>
        <v>Falsche Benutzer-ID oder falsches Passwort!</v>
      </c>
      <c r="G210" s="3" t="str">
        <f ca="1">IFERROR(__xludf.DUMMYFUNCTION("GOOGLETRANSLATE(A210,""en"",""it"")"),"ID utente o password errati!")</f>
        <v>ID utente o password errati!</v>
      </c>
      <c r="H210" s="3" t="str">
        <f ca="1">IFERROR(__xludf.DUMMYFUNCTION("GOOGLETRANSLATE(A210,""en"",""nl"")"),"Verkeerde gebruikersnaam of wachtwoord!")</f>
        <v>Verkeerde gebruikersnaam of wachtwoord!</v>
      </c>
      <c r="I210" s="3" t="str">
        <f ca="1">IFERROR(__xludf.DUMMYFUNCTION("GOOGLETRANSLATE(A210,""en"",""eu"")"),"Erabiltzaile ID edo pasahitz okerra!")</f>
        <v>Erabiltzaile ID edo pasahitz okerra!</v>
      </c>
      <c r="J210" s="3" t="str">
        <f ca="1">IFERROR(__xludf.DUMMYFUNCTION("GOOGLETRANSLATE(A210,""en"",""gl"")"),"ID de usuario ou contrasinal incorrectos!")</f>
        <v>ID de usuario ou contrasinal incorrectos!</v>
      </c>
      <c r="K210" s="3" t="str">
        <f ca="1">IFERROR(__xludf.DUMMYFUNCTION("GOOGLETRANSLATE(A210,""en"",""zh"")"),"用户名或密码错误！")</f>
        <v>用户名或密码错误！</v>
      </c>
    </row>
    <row r="211" spans="1:11" x14ac:dyDescent="0.2">
      <c r="A211" s="4" t="s">
        <v>220</v>
      </c>
      <c r="B211" s="3" t="str">
        <f t="shared" si="0"/>
        <v>Yes</v>
      </c>
      <c r="C211" s="3" t="str">
        <f ca="1">IFERROR(__xludf.DUMMYFUNCTION("GOOGLETRANSLATE(A211,""en"",""es"")"),"Sí")</f>
        <v>Sí</v>
      </c>
      <c r="D211" s="3" t="str">
        <f ca="1">IFERROR(__xludf.DUMMYFUNCTION("GOOGLETRANSLATE(A211,""en"",""ca"")"),"Sí")</f>
        <v>Sí</v>
      </c>
      <c r="E211" s="3" t="str">
        <f ca="1">IFERROR(__xludf.DUMMYFUNCTION("GOOGLETRANSLATE(A211,""en"",""fr"")"),"Oui")</f>
        <v>Oui</v>
      </c>
      <c r="F211" s="3" t="str">
        <f ca="1">IFERROR(__xludf.DUMMYFUNCTION("GOOGLETRANSLATE(A211,""en"",""de"")"),"Ja")</f>
        <v>Ja</v>
      </c>
      <c r="G211" s="3" t="str">
        <f ca="1">IFERROR(__xludf.DUMMYFUNCTION("GOOGLETRANSLATE(A211,""en"",""it"")"),"SÌ")</f>
        <v>SÌ</v>
      </c>
      <c r="H211" s="3" t="str">
        <f ca="1">IFERROR(__xludf.DUMMYFUNCTION("GOOGLETRANSLATE(A211,""en"",""nl"")"),"Ja")</f>
        <v>Ja</v>
      </c>
      <c r="I211" s="3" t="str">
        <f ca="1">IFERROR(__xludf.DUMMYFUNCTION("GOOGLETRANSLATE(A211,""en"",""eu"")"),"Bai")</f>
        <v>Bai</v>
      </c>
      <c r="J211" s="3" t="str">
        <f ca="1">IFERROR(__xludf.DUMMYFUNCTION("GOOGLETRANSLATE(A211,""en"",""gl"")"),"Si")</f>
        <v>Si</v>
      </c>
      <c r="K211" s="3" t="str">
        <f ca="1">IFERROR(__xludf.DUMMYFUNCTION("GOOGLETRANSLATE(A211,""en"",""zh"")"),"是的")</f>
        <v>是的</v>
      </c>
    </row>
    <row r="212" spans="1:11" x14ac:dyDescent="0.2">
      <c r="A212" s="4" t="s">
        <v>221</v>
      </c>
      <c r="B212" s="3" t="str">
        <f t="shared" si="0"/>
        <v>You must enter all Cuts</v>
      </c>
      <c r="C212" s="3" t="str">
        <f ca="1">IFERROR(__xludf.DUMMYFUNCTION("GOOGLETRANSLATE(A212,""en"",""es"")"),"Debes ingresar todos los Cortes")</f>
        <v>Debes ingresar todos los Cortes</v>
      </c>
      <c r="D212" s="3" t="str">
        <f ca="1">IFERROR(__xludf.DUMMYFUNCTION("GOOGLETRANSLATE(A212,""en"",""ca"")"),"Heu d'introduir tots els talls")</f>
        <v>Heu d'introduir tots els talls</v>
      </c>
      <c r="E212" s="3" t="str">
        <f ca="1">IFERROR(__xludf.DUMMYFUNCTION("GOOGLETRANSLATE(A212,""en"",""fr"")"),"Vous devez saisir toutes les coupes")</f>
        <v>Vous devez saisir toutes les coupes</v>
      </c>
      <c r="F212" s="3" t="str">
        <f ca="1">IFERROR(__xludf.DUMMYFUNCTION("GOOGLETRANSLATE(A212,""en"",""de"")"),"Sie müssen alle Schnitte eingeben")</f>
        <v>Sie müssen alle Schnitte eingeben</v>
      </c>
      <c r="G212" s="3" t="str">
        <f ca="1">IFERROR(__xludf.DUMMYFUNCTION("GOOGLETRANSLATE(A212,""en"",""it"")"),"È necessario inserire tutti i tagli")</f>
        <v>È necessario inserire tutti i tagli</v>
      </c>
      <c r="H212" s="3" t="str">
        <f ca="1">IFERROR(__xludf.DUMMYFUNCTION("GOOGLETRANSLATE(A212,""en"",""nl"")"),"U moet alle Cuts invoeren")</f>
        <v>U moet alle Cuts invoeren</v>
      </c>
      <c r="I212" s="3" t="str">
        <f ca="1">IFERROR(__xludf.DUMMYFUNCTION("GOOGLETRANSLATE(A212,""en"",""eu"")"),"Mozketa guztiak sartu behar dituzu")</f>
        <v>Mozketa guztiak sartu behar dituzu</v>
      </c>
      <c r="J212" s="3" t="str">
        <f ca="1">IFERROR(__xludf.DUMMYFUNCTION("GOOGLETRANSLATE(A212,""en"",""gl"")"),"Debes introducir todos os cortes")</f>
        <v>Debes introducir todos os cortes</v>
      </c>
      <c r="K212" s="3" t="str">
        <f ca="1">IFERROR(__xludf.DUMMYFUNCTION("GOOGLETRANSLATE(A212,""en"",""zh"")"),"您必须输入所有剪辑")</f>
        <v>您必须输入所有剪辑</v>
      </c>
    </row>
    <row r="213" spans="1:11" x14ac:dyDescent="0.2">
      <c r="A213" s="4" t="s">
        <v>222</v>
      </c>
      <c r="B213" s="3" t="str">
        <f t="shared" si="0"/>
        <v>Your version of LARA needs updating to work</v>
      </c>
      <c r="C213" s="3" t="str">
        <f ca="1">IFERROR(__xludf.DUMMYFUNCTION("GOOGLETRANSLATE(A213,""en"",""es"")"),"Tu versión de LARA necesita ser actualizada para funcionar.")</f>
        <v>Tu versión de LARA necesita ser actualizada para funcionar.</v>
      </c>
      <c r="D213" s="3" t="str">
        <f ca="1">IFERROR(__xludf.DUMMYFUNCTION("GOOGLETRANSLATE(A213,""en"",""ca"")"),"La vostra versió de LARA necessita una actualització per funcionar")</f>
        <v>La vostra versió de LARA necessita una actualització per funcionar</v>
      </c>
      <c r="E213" s="3" t="str">
        <f ca="1">IFERROR(__xludf.DUMMYFUNCTION("GOOGLETRANSLATE(A213,""en"",""fr"")"),"Votre version de LARA doit être mise à jour pour fonctionner")</f>
        <v>Votre version de LARA doit être mise à jour pour fonctionner</v>
      </c>
      <c r="F213" s="3" t="str">
        <f ca="1">IFERROR(__xludf.DUMMYFUNCTION("GOOGLETRANSLATE(A213,""en"",""de"")"),"Ihre Version von LARA muss aktualisiert werden, damit sie funktioniert")</f>
        <v>Ihre Version von LARA muss aktualisiert werden, damit sie funktioniert</v>
      </c>
      <c r="G213" s="3" t="str">
        <f ca="1">IFERROR(__xludf.DUMMYFUNCTION("GOOGLETRANSLATE(A213,""en"",""it"")"),"La tua versione di LARA deve essere aggiornata per funzionare")</f>
        <v>La tua versione di LARA deve essere aggiornata per funzionare</v>
      </c>
      <c r="H213" s="3" t="str">
        <f ca="1">IFERROR(__xludf.DUMMYFUNCTION("GOOGLETRANSLATE(A213,""en"",""nl"")"),"Uw versie van LARA moet worden bijgewerkt om te kunnen werken")</f>
        <v>Uw versie van LARA moet worden bijgewerkt om te kunnen werken</v>
      </c>
      <c r="I213" s="3" t="str">
        <f ca="1">IFERROR(__xludf.DUMMYFUNCTION("GOOGLETRANSLATE(A213,""en"",""eu"")"),"Zure LARAren bertsioak eguneratu behar du funtzionatzeko")</f>
        <v>Zure LARAren bertsioak eguneratu behar du funtzionatzeko</v>
      </c>
      <c r="J213" s="3" t="str">
        <f ca="1">IFERROR(__xludf.DUMMYFUNCTION("GOOGLETRANSLATE(A213,""en"",""gl"")"),"A túa versión de LARA necesita unha actualización para funcionar")</f>
        <v>A túa versión de LARA necesita unha actualización para funcionar</v>
      </c>
      <c r="K213" s="3" t="str">
        <f ca="1">IFERROR(__xludf.DUMMYFUNCTION("GOOGLETRANSLATE(A213,""en"",""zh"")"),"您的 LARA 版本需要更新才能工作")</f>
        <v>您的 LARA 版本需要更新才能工作</v>
      </c>
    </row>
    <row r="214" spans="1:11" x14ac:dyDescent="0.2">
      <c r="A214" s="4" t="s">
        <v>223</v>
      </c>
      <c r="B214" s="3" t="str">
        <f t="shared" si="0"/>
        <v>An investment in knowledge always pays the best interest. So tell a friend about LARA</v>
      </c>
      <c r="C214" s="3" t="str">
        <f ca="1">IFERROR(__xludf.DUMMYFUNCTION("GOOGLETRANSLATE(A214,""en"",""es"")"),"Una inversión en conocimiento siempre produce el mejor interés. Así que cuéntale a un amigo sobre LARA.")</f>
        <v>Una inversión en conocimiento siempre produce el mejor interés. Así que cuéntale a un amigo sobre LARA.</v>
      </c>
      <c r="D214" s="3" t="str">
        <f ca="1">IFERROR(__xludf.DUMMYFUNCTION("GOOGLETRANSLATE(A214,""en"",""ca"")"),"Una inversió en coneixement sempre paga el millor interès. Així que digues a un amic sobre LARA")</f>
        <v>Una inversió en coneixement sempre paga el millor interès. Així que digues a un amic sobre LARA</v>
      </c>
      <c r="E214" s="3" t="str">
        <f ca="1">IFERROR(__xludf.DUMMYFUNCTION("GOOGLETRANSLATE(A214,""en"",""fr"")"),"Un investissement dans la connaissance rapporte toujours le meilleur intérêt. Alors parlez de LARA à un ami")</f>
        <v>Un investissement dans la connaissance rapporte toujours le meilleur intérêt. Alors parlez de LARA à un ami</v>
      </c>
      <c r="F214" s="3" t="str">
        <f ca="1">IFERROR(__xludf.DUMMYFUNCTION("GOOGLETRANSLATE(A214,""en"",""de"")"),"Eine Investition in Wissen bringt immer die besten Zinsen. Also erzähl einer Freundin von LARA")</f>
        <v>Eine Investition in Wissen bringt immer die besten Zinsen. Also erzähl einer Freundin von LARA</v>
      </c>
      <c r="G214" s="3" t="str">
        <f ca="1">IFERROR(__xludf.DUMMYFUNCTION("GOOGLETRANSLATE(A214,""en"",""it"")"),"Un investimento nella conoscenza paga sempre il miglior interesse. Quindi racconta ad un amico di LARA")</f>
        <v>Un investimento nella conoscenza paga sempre il miglior interesse. Quindi racconta ad un amico di LARA</v>
      </c>
      <c r="H214" s="3" t="str">
        <f ca="1">IFERROR(__xludf.DUMMYFUNCTION("GOOGLETRANSLATE(A214,""en"",""nl"")"),"Een investering in kennis betaalt altijd de beste rente. Dus vertel een vriend over LARA")</f>
        <v>Een investering in kennis betaalt altijd de beste rente. Dus vertel een vriend over LARA</v>
      </c>
      <c r="I214" s="3" t="str">
        <f ca="1">IFERROR(__xludf.DUMMYFUNCTION("GOOGLETRANSLATE(A214,""en"",""eu"")"),"Ezagutzan inbertitzeak beti ematen du interesik onena. Beraz, esan lagun bati LARAri buruz")</f>
        <v>Ezagutzan inbertitzeak beti ematen du interesik onena. Beraz, esan lagun bati LARAri buruz</v>
      </c>
      <c r="J214" s="3" t="str">
        <f ca="1">IFERROR(__xludf.DUMMYFUNCTION("GOOGLETRANSLATE(A214,""en"",""gl"")"),"Un investimento en coñecemento sempre paga o mellor interese. Entón, cóntalle a un amigo sobre LARA")</f>
        <v>Un investimento en coñecemento sempre paga o mellor interese. Entón, cóntalle a un amigo sobre LARA</v>
      </c>
      <c r="K214" s="3" t="str">
        <f ca="1">IFERROR(__xludf.DUMMYFUNCTION("GOOGLETRANSLATE(A214,""en"",""zh"")"),"对知识的投资总是能带来最大的利益。向朋友介绍一下 LARA")</f>
        <v>对知识的投资总是能带来最大的利益。向朋友介绍一下 LARA</v>
      </c>
    </row>
    <row r="215" spans="1:11" x14ac:dyDescent="0.2">
      <c r="A215" s="4" t="s">
        <v>224</v>
      </c>
      <c r="B215" s="3" t="str">
        <f t="shared" si="0"/>
        <v>Don’t be afraid to share what you know, because you know it better than anyone else!</v>
      </c>
      <c r="C215" s="3" t="str">
        <f ca="1">IFERROR(__xludf.DUMMYFUNCTION("GOOGLETRANSLATE(A215,""en"",""es"")"),"¡No tengas miedo de compartir lo que sabes, porque lo sabes mejor que nadie!")</f>
        <v>¡No tengas miedo de compartir lo que sabes, porque lo sabes mejor que nadie!</v>
      </c>
      <c r="D215" s="3" t="str">
        <f ca="1">IFERROR(__xludf.DUMMYFUNCTION("GOOGLETRANSLATE(A215,""en"",""ca"")"),"No tinguis por de compartir el que saps, perquè ho saps millor que ningú!")</f>
        <v>No tinguis por de compartir el que saps, perquè ho saps millor que ningú!</v>
      </c>
      <c r="E215" s="3" t="str">
        <f ca="1">IFERROR(__xludf.DUMMYFUNCTION("GOOGLETRANSLATE(A215,""en"",""fr"")"),"N’ayez pas peur de partager ce que vous savez, car vous le savez mieux que quiconque !")</f>
        <v>N’ayez pas peur de partager ce que vous savez, car vous le savez mieux que quiconque !</v>
      </c>
      <c r="F215" s="3" t="str">
        <f ca="1">IFERROR(__xludf.DUMMYFUNCTION("GOOGLETRANSLATE(A215,""en"",""de"")"),"Scheuen Sie sich nicht, Ihr Wissen weiterzugeben, denn Sie wissen es besser als jeder andere!")</f>
        <v>Scheuen Sie sich nicht, Ihr Wissen weiterzugeben, denn Sie wissen es besser als jeder andere!</v>
      </c>
      <c r="G215" s="3" t="str">
        <f ca="1">IFERROR(__xludf.DUMMYFUNCTION("GOOGLETRANSLATE(A215,""en"",""it"")"),"Non aver paura di condividere ciò che sai, perché lo sai meglio di chiunque altro!")</f>
        <v>Non aver paura di condividere ciò che sai, perché lo sai meglio di chiunque altro!</v>
      </c>
      <c r="H215" s="3" t="str">
        <f ca="1">IFERROR(__xludf.DUMMYFUNCTION("GOOGLETRANSLATE(A215,""en"",""nl"")"),"Wees niet bang om te delen wat je weet, want jij weet het beter dan wie dan ook!")</f>
        <v>Wees niet bang om te delen wat je weet, want jij weet het beter dan wie dan ook!</v>
      </c>
      <c r="I215" s="3" t="str">
        <f ca="1">IFERROR(__xludf.DUMMYFUNCTION("GOOGLETRANSLATE(A215,""en"",""eu"")"),"Ez izan beldurrik dakizuna partekatzeko, inork baino hobeto ezagutzen duzulako!")</f>
        <v>Ez izan beldurrik dakizuna partekatzeko, inork baino hobeto ezagutzen duzulako!</v>
      </c>
      <c r="J215" s="3" t="str">
        <f ca="1">IFERROR(__xludf.DUMMYFUNCTION("GOOGLETRANSLATE(A215,""en"",""gl"")"),"Non teñas medo de compartir o que sabes, porque o sabes mellor que ninguén!")</f>
        <v>Non teñas medo de compartir o que sabes, porque o sabes mellor que ninguén!</v>
      </c>
      <c r="K215" s="3" t="str">
        <f ca="1">IFERROR(__xludf.DUMMYFUNCTION("GOOGLETRANSLATE(A215,""en"",""zh"")"),"不要害怕分享你所知道的，因为你比任何人都更了解！")</f>
        <v>不要害怕分享你所知道的，因为你比任何人都更了解！</v>
      </c>
    </row>
    <row r="216" spans="1:11" x14ac:dyDescent="0.2">
      <c r="A216" s="4" t="s">
        <v>225</v>
      </c>
      <c r="B216" s="3" t="str">
        <f t="shared" si="0"/>
        <v>Everybody is smarter than anybody. So share a little today!</v>
      </c>
      <c r="C216" s="3" t="str">
        <f ca="1">IFERROR(__xludf.DUMMYFUNCTION("GOOGLETRANSLATE(A216,""en"",""es"")"),"Todo el mundo es más inteligente que nadie. ¡Así que comparte un poco hoy!")</f>
        <v>Todo el mundo es más inteligente que nadie. ¡Así que comparte un poco hoy!</v>
      </c>
      <c r="D216" s="3" t="str">
        <f ca="1">IFERROR(__xludf.DUMMYFUNCTION("GOOGLETRANSLATE(A216,""en"",""ca"")"),"Tothom és més intel·ligent que ningú. Així que avui compartiu una mica!")</f>
        <v>Tothom és més intel·ligent que ningú. Així que avui compartiu una mica!</v>
      </c>
      <c r="E216" s="3" t="str">
        <f ca="1">IFERROR(__xludf.DUMMYFUNCTION("GOOGLETRANSLATE(A216,""en"",""fr"")"),"Tout le monde est plus intelligent que quiconque. Alors partagez un peu aujourd’hui !")</f>
        <v>Tout le monde est plus intelligent que quiconque. Alors partagez un peu aujourd’hui !</v>
      </c>
      <c r="F216" s="3" t="str">
        <f ca="1">IFERROR(__xludf.DUMMYFUNCTION("GOOGLETRANSLATE(A216,""en"",""de"")"),"Jeder ist schlauer als jeder andere. Teilen Sie also heute ein wenig!")</f>
        <v>Jeder ist schlauer als jeder andere. Teilen Sie also heute ein wenig!</v>
      </c>
      <c r="G216" s="3" t="str">
        <f ca="1">IFERROR(__xludf.DUMMYFUNCTION("GOOGLETRANSLATE(A216,""en"",""it"")"),"Tutti sono più intelligenti di chiunque altro. Quindi condividi un po’ oggi!")</f>
        <v>Tutti sono più intelligenti di chiunque altro. Quindi condividi un po’ oggi!</v>
      </c>
      <c r="H216" s="3" t="str">
        <f ca="1">IFERROR(__xludf.DUMMYFUNCTION("GOOGLETRANSLATE(A216,""en"",""nl"")"),"Iedereen is slimmer dan wie dan ook. Deel dus vandaag nog een beetje!")</f>
        <v>Iedereen is slimmer dan wie dan ook. Deel dus vandaag nog een beetje!</v>
      </c>
      <c r="I216" s="3" t="str">
        <f ca="1">IFERROR(__xludf.DUMMYFUNCTION("GOOGLETRANSLATE(A216,""en"",""eu"")"),"Denak dira inor baino adimentsuak. Beraz, partekatu apur bat gaur!")</f>
        <v>Denak dira inor baino adimentsuak. Beraz, partekatu apur bat gaur!</v>
      </c>
      <c r="J216" s="3" t="str">
        <f ca="1">IFERROR(__xludf.DUMMYFUNCTION("GOOGLETRANSLATE(A216,""en"",""gl"")"),"Todo o mundo é máis intelixente que ninguén. Así que comparte un pouco hoxe!")</f>
        <v>Todo o mundo é máis intelixente que ninguén. Así que comparte un pouco hoxe!</v>
      </c>
      <c r="K216" s="3" t="str">
        <f ca="1">IFERROR(__xludf.DUMMYFUNCTION("GOOGLETRANSLATE(A216,""en"",""zh"")"),"每个人都比任何人都聪明。那么今天就分享一点吧！")</f>
        <v>每个人都比任何人都聪明。那么今天就分享一点吧！</v>
      </c>
    </row>
    <row r="217" spans="1:11" x14ac:dyDescent="0.2">
      <c r="A217" s="4" t="s">
        <v>226</v>
      </c>
      <c r="B217" s="3" t="str">
        <f t="shared" si="0"/>
        <v>Knowledge increases by sharing but not by saving.</v>
      </c>
      <c r="C217" s="3" t="str">
        <f ca="1">IFERROR(__xludf.DUMMYFUNCTION("GOOGLETRANSLATE(A217,""en"",""es"")"),"El conocimiento aumenta compartiendo pero no ahorrando.")</f>
        <v>El conocimiento aumenta compartiendo pero no ahorrando.</v>
      </c>
      <c r="D217" s="3" t="str">
        <f ca="1">IFERROR(__xludf.DUMMYFUNCTION("GOOGLETRANSLATE(A217,""en"",""ca"")"),"El coneixement augmenta compartint però no guardant.")</f>
        <v>El coneixement augmenta compartint però no guardant.</v>
      </c>
      <c r="E217" s="3" t="str">
        <f ca="1">IFERROR(__xludf.DUMMYFUNCTION("GOOGLETRANSLATE(A217,""en"",""fr"")"),"La connaissance augmente en partageant mais pas en économisant.")</f>
        <v>La connaissance augmente en partageant mais pas en économisant.</v>
      </c>
      <c r="F217" s="3" t="str">
        <f ca="1">IFERROR(__xludf.DUMMYFUNCTION("GOOGLETRANSLATE(A217,""en"",""de"")"),"Wissen wächst durch Teilen, nicht aber durch Speichern.")</f>
        <v>Wissen wächst durch Teilen, nicht aber durch Speichern.</v>
      </c>
      <c r="G217" s="3" t="str">
        <f ca="1">IFERROR(__xludf.DUMMYFUNCTION("GOOGLETRANSLATE(A217,""en"",""it"")"),"La conoscenza aumenta condividendo ma non risparmiando.")</f>
        <v>La conoscenza aumenta condividendo ma non risparmiando.</v>
      </c>
      <c r="H217" s="3" t="str">
        <f ca="1">IFERROR(__xludf.DUMMYFUNCTION("GOOGLETRANSLATE(A217,""en"",""nl"")"),"Kennis neemt toe door te delen, maar niet door te sparen.")</f>
        <v>Kennis neemt toe door te delen, maar niet door te sparen.</v>
      </c>
      <c r="I217" s="3" t="str">
        <f ca="1">IFERROR(__xludf.DUMMYFUNCTION("GOOGLETRANSLATE(A217,""en"",""eu"")"),"Ezagutza handitzen da partekatuz baina ez gordez.")</f>
        <v>Ezagutza handitzen da partekatuz baina ez gordez.</v>
      </c>
      <c r="J217" s="3" t="str">
        <f ca="1">IFERROR(__xludf.DUMMYFUNCTION("GOOGLETRANSLATE(A217,""en"",""gl"")"),"O coñecemento aumenta ao compartir pero non ao gardar.")</f>
        <v>O coñecemento aumenta ao compartir pero non ao gardar.</v>
      </c>
      <c r="K217" s="3" t="str">
        <f ca="1">IFERROR(__xludf.DUMMYFUNCTION("GOOGLETRANSLATE(A217,""en"",""zh"")"),"知识通过分享而不是通过保存而增长。")</f>
        <v>知识通过分享而不是通过保存而增长。</v>
      </c>
    </row>
    <row r="218" spans="1:11" x14ac:dyDescent="0.2">
      <c r="A218" s="4" t="s">
        <v>227</v>
      </c>
      <c r="B218" s="3" t="str">
        <f t="shared" si="0"/>
        <v>Knowledge is in groups — Not individuals.</v>
      </c>
      <c r="C218" s="3" t="str">
        <f ca="1">IFERROR(__xludf.DUMMYFUNCTION("GOOGLETRANSLATE(A218,""en"",""es"")"),"El conocimiento está en grupos, no en individuos.")</f>
        <v>El conocimiento está en grupos, no en individuos.</v>
      </c>
      <c r="D218" s="3" t="str">
        <f ca="1">IFERROR(__xludf.DUMMYFUNCTION("GOOGLETRANSLATE(A218,""en"",""ca"")"),"El coneixement està en grups, no en individus.")</f>
        <v>El coneixement està en grups, no en individus.</v>
      </c>
      <c r="E218" s="3" t="str">
        <f ca="1">IFERROR(__xludf.DUMMYFUNCTION("GOOGLETRANSLATE(A218,""en"",""fr"")"),"La connaissance est en groupes – pas en individus.")</f>
        <v>La connaissance est en groupes – pas en individus.</v>
      </c>
      <c r="F218" s="3" t="str">
        <f ca="1">IFERROR(__xludf.DUMMYFUNCTION("GOOGLETRANSLATE(A218,""en"",""de"")"),"Wissen findet in Gruppen statt – nicht in Einzelpersonen.")</f>
        <v>Wissen findet in Gruppen statt – nicht in Einzelpersonen.</v>
      </c>
      <c r="G218" s="3" t="str">
        <f ca="1">IFERROR(__xludf.DUMMYFUNCTION("GOOGLETRANSLATE(A218,""en"",""it"")"),"La conoscenza è nei gruppi, non negli individui.")</f>
        <v>La conoscenza è nei gruppi, non negli individui.</v>
      </c>
      <c r="H218" s="3" t="str">
        <f ca="1">IFERROR(__xludf.DUMMYFUNCTION("GOOGLETRANSLATE(A218,""en"",""nl"")"),"Kennis bevindt zich in groepen – niet in individuen.")</f>
        <v>Kennis bevindt zich in groepen – niet in individuen.</v>
      </c>
      <c r="I218" s="3" t="str">
        <f ca="1">IFERROR(__xludf.DUMMYFUNCTION("GOOGLETRANSLATE(A218,""en"",""eu"")"),"Ezagutza taldeetan dago — Ez banaka.")</f>
        <v>Ezagutza taldeetan dago — Ez banaka.</v>
      </c>
      <c r="J218" s="3" t="str">
        <f ca="1">IFERROR(__xludf.DUMMYFUNCTION("GOOGLETRANSLATE(A218,""en"",""gl"")"),"O coñecemento está en grupos, non en individuos.")</f>
        <v>O coñecemento está en grupos, non en individuos.</v>
      </c>
      <c r="K218" s="3" t="str">
        <f ca="1">IFERROR(__xludf.DUMMYFUNCTION("GOOGLETRANSLATE(A218,""en"",""zh"")"),"知识存在于群体中——而不是个人。")</f>
        <v>知识存在于群体中——而不是个人。</v>
      </c>
    </row>
    <row r="219" spans="1:11" x14ac:dyDescent="0.2">
      <c r="A219" s="4" t="s">
        <v>228</v>
      </c>
      <c r="B219" s="3" t="str">
        <f t="shared" si="0"/>
        <v>Knowledge shared is knowledge squared. So share some today!</v>
      </c>
      <c r="C219" s="3" t="str">
        <f ca="1">IFERROR(__xludf.DUMMYFUNCTION("GOOGLETRANSLATE(A219,""en"",""es"")"),"El conocimiento compartido es conocimiento al cuadrado. ¡Así que comparte algunos hoy!")</f>
        <v>El conocimiento compartido es conocimiento al cuadrado. ¡Así que comparte algunos hoy!</v>
      </c>
      <c r="D219" s="3" t="str">
        <f ca="1">IFERROR(__xludf.DUMMYFUNCTION("GOOGLETRANSLATE(A219,""en"",""ca"")"),"El coneixement compartit és el coneixement al quadrat. Així que compartiu-ne avui!")</f>
        <v>El coneixement compartit és el coneixement al quadrat. Així que compartiu-ne avui!</v>
      </c>
      <c r="E219" s="3" t="str">
        <f ca="1">IFERROR(__xludf.DUMMYFUNCTION("GOOGLETRANSLATE(A219,""en"",""fr"")"),"La connaissance partagée est la connaissance au carré. Alors partagez-en aujourd’hui !")</f>
        <v>La connaissance partagée est la connaissance au carré. Alors partagez-en aujourd’hui !</v>
      </c>
      <c r="F219" s="3" t="str">
        <f ca="1">IFERROR(__xludf.DUMMYFUNCTION("GOOGLETRANSLATE(A219,""en"",""de"")"),"Geteiltes Wissen ist Wissen im Quadrat. Teilen Sie also noch heute etwas davon!")</f>
        <v>Geteiltes Wissen ist Wissen im Quadrat. Teilen Sie also noch heute etwas davon!</v>
      </c>
      <c r="G219" s="3" t="str">
        <f ca="1">IFERROR(__xludf.DUMMYFUNCTION("GOOGLETRANSLATE(A219,""en"",""it"")"),"La conoscenza condivisa è conoscenza al quadrato. Quindi condividine alcuni oggi!")</f>
        <v>La conoscenza condivisa è conoscenza al quadrato. Quindi condividine alcuni oggi!</v>
      </c>
      <c r="H219" s="3" t="str">
        <f ca="1">IFERROR(__xludf.DUMMYFUNCTION("GOOGLETRANSLATE(A219,""en"",""nl"")"),"Gedeelde kennis is kennis in het kwadraat. Deel er dus vandaag nog een paar!")</f>
        <v>Gedeelde kennis is kennis in het kwadraat. Deel er dus vandaag nog een paar!</v>
      </c>
      <c r="I219" s="3" t="str">
        <f ca="1">IFERROR(__xludf.DUMMYFUNCTION("GOOGLETRANSLATE(A219,""en"",""eu"")"),"Partekatutako ezagutza ezagutza karratua da. Beraz, partekatu gaur!")</f>
        <v>Partekatutako ezagutza ezagutza karratua da. Beraz, partekatu gaur!</v>
      </c>
      <c r="J219" s="3" t="str">
        <f ca="1">IFERROR(__xludf.DUMMYFUNCTION("GOOGLETRANSLATE(A219,""en"",""gl"")"),"O coñecemento compartido é o coñecemento ao cadrado. Así que comparte algúns hoxe!")</f>
        <v>O coñecemento compartido é o coñecemento ao cadrado. Así que comparte algúns hoxe!</v>
      </c>
      <c r="K219" s="3" t="str">
        <f ca="1">IFERROR(__xludf.DUMMYFUNCTION("GOOGLETRANSLATE(A219,""en"",""zh"")"),"共享的知识是知识的平方。那么今天分享一些吧！")</f>
        <v>共享的知识是知识的平方。那么今天分享一些吧！</v>
      </c>
    </row>
    <row r="220" spans="1:11" x14ac:dyDescent="0.2">
      <c r="A220" s="4" t="s">
        <v>229</v>
      </c>
      <c r="B220" s="3" t="str">
        <f t="shared" si="0"/>
        <v>There is no one solution. Knowledge is always changing. Help us to stay up to date!</v>
      </c>
      <c r="C220" s="3" t="str">
        <f ca="1">IFERROR(__xludf.DUMMYFUNCTION("GOOGLETRANSLATE(A220,""en"",""es"")"),"No hay una única solución. El conocimiento siempre está cambiando. ¡Ayúdanos a estar al día!")</f>
        <v>No hay una única solución. El conocimiento siempre está cambiando. ¡Ayúdanos a estar al día!</v>
      </c>
      <c r="D220" s="3" t="str">
        <f ca="1">IFERROR(__xludf.DUMMYFUNCTION("GOOGLETRANSLATE(A220,""en"",""ca"")"),"No hi ha una solució única. El coneixement sempre canvia. Ajuda'ns a estar al dia!")</f>
        <v>No hi ha una solució única. El coneixement sempre canvia. Ajuda'ns a estar al dia!</v>
      </c>
      <c r="E220" s="3" t="str">
        <f ca="1">IFERROR(__xludf.DUMMYFUNCTION("GOOGLETRANSLATE(A220,""en"",""fr"")"),"Il n’y a pas de solution unique. Les connaissances évoluent constamment. Aidez-nous à rester à jour !")</f>
        <v>Il n’y a pas de solution unique. Les connaissances évoluent constamment. Aidez-nous à rester à jour !</v>
      </c>
      <c r="F220" s="3" t="str">
        <f ca="1">IFERROR(__xludf.DUMMYFUNCTION("GOOGLETRANSLATE(A220,""en"",""de"")"),"Es gibt keine Lösung. Wissen verändert sich ständig. Helfen Sie uns, auf dem Laufenden zu bleiben!")</f>
        <v>Es gibt keine Lösung. Wissen verändert sich ständig. Helfen Sie uns, auf dem Laufenden zu bleiben!</v>
      </c>
      <c r="G220" s="3" t="str">
        <f ca="1">IFERROR(__xludf.DUMMYFUNCTION("GOOGLETRANSLATE(A220,""en"",""it"")"),"Non esiste una soluzione. La conoscenza è in continua evoluzione. Aiutaci a rimanere aggiornati!")</f>
        <v>Non esiste una soluzione. La conoscenza è in continua evoluzione. Aiutaci a rimanere aggiornati!</v>
      </c>
      <c r="H220" s="3" t="str">
        <f ca="1">IFERROR(__xludf.DUMMYFUNCTION("GOOGLETRANSLATE(A220,""en"",""nl"")"),"Er is niet één oplossing. Kennis verandert altijd. Help ons up-to-date te blijven!")</f>
        <v>Er is niet één oplossing. Kennis verandert altijd. Help ons up-to-date te blijven!</v>
      </c>
      <c r="I220" s="3" t="str">
        <f ca="1">IFERROR(__xludf.DUMMYFUNCTION("GOOGLETRANSLATE(A220,""en"",""eu"")"),"Ez dago irtenbide bakarra. Ezagutza beti aldatzen ari da. Lagundu iezaguzu eguneratuta egoten!")</f>
        <v>Ez dago irtenbide bakarra. Ezagutza beti aldatzen ari da. Lagundu iezaguzu eguneratuta egoten!</v>
      </c>
      <c r="J220" s="3" t="str">
        <f ca="1">IFERROR(__xludf.DUMMYFUNCTION("GOOGLETRANSLATE(A220,""en"",""gl"")"),"Non hai unha única solución. O coñecemento está sempre cambiando. Axúdanos a estar ao día!")</f>
        <v>Non hai unha única solución. O coñecemento está sempre cambiando. Axúdanos a estar ao día!</v>
      </c>
      <c r="K220" s="3" t="str">
        <f ca="1">IFERROR(__xludf.DUMMYFUNCTION("GOOGLETRANSLATE(A220,""en"",""zh"")"),"没有一种解决方案。知识总是在变化的。帮助我们了解最新动态！")</f>
        <v>没有一种解决方案。知识总是在变化的。帮助我们了解最新动态！</v>
      </c>
    </row>
    <row r="221" spans="1:11" x14ac:dyDescent="0.2">
      <c r="A221" s="4" t="s">
        <v>230</v>
      </c>
      <c r="B221" s="3" t="str">
        <f t="shared" si="0"/>
        <v>We always know more than we can say, and we will always say more than we can write down. But give it a go!</v>
      </c>
      <c r="C221" s="3" t="str">
        <f ca="1">IFERROR(__xludf.DUMMYFUNCTION("GOOGLETRANSLATE(A221,""en"",""es"")"),"Siempre sabemos más de lo que podemos decir y siempre diremos más de lo que podemos escribir. ¡Pero pruébalo!")</f>
        <v>Siempre sabemos más de lo que podemos decir y siempre diremos más de lo que podemos escribir. ¡Pero pruébalo!</v>
      </c>
      <c r="D221" s="3" t="str">
        <f ca="1">IFERROR(__xludf.DUMMYFUNCTION("GOOGLETRANSLATE(A221,""en"",""ca"")"),"Sempre sabem més del que podem dir, i sempre direm més del que podem escriure. Però prova-ho!")</f>
        <v>Sempre sabem més del que podem dir, i sempre direm més del que podem escriure. Però prova-ho!</v>
      </c>
      <c r="E221" s="3" t="str">
        <f ca="1">IFERROR(__xludf.DUMMYFUNCTION("GOOGLETRANSLATE(A221,""en"",""fr"")"),"Nous en savons toujours plus que ce que nous pouvons dire, et nous en dirons toujours plus que ce que nous pouvons écrire. Mais essayez-le !")</f>
        <v>Nous en savons toujours plus que ce que nous pouvons dire, et nous en dirons toujours plus que ce que nous pouvons écrire. Mais essayez-le !</v>
      </c>
      <c r="F221" s="3" t="str">
        <f ca="1">IFERROR(__xludf.DUMMYFUNCTION("GOOGLETRANSLATE(A221,""en"",""de"")"),"Wir wissen immer mehr, als wir sagen können, und wir werden immer mehr sagen, als wir aufschreiben können. Aber probieren Sie es aus!")</f>
        <v>Wir wissen immer mehr, als wir sagen können, und wir werden immer mehr sagen, als wir aufschreiben können. Aber probieren Sie es aus!</v>
      </c>
      <c r="G221" s="3" t="str">
        <f ca="1">IFERROR(__xludf.DUMMYFUNCTION("GOOGLETRANSLATE(A221,""en"",""it"")"),"Sappiamo sempre più di quanto possiamo dire e diremo sempre più di quanto possiamo scrivere. Ma provaci!")</f>
        <v>Sappiamo sempre più di quanto possiamo dire e diremo sempre più di quanto possiamo scrivere. Ma provaci!</v>
      </c>
      <c r="H221" s="3" t="str">
        <f ca="1">IFERROR(__xludf.DUMMYFUNCTION("GOOGLETRANSLATE(A221,""en"",""nl"")"),"We weten altijd meer dan we kunnen zeggen, en we zullen altijd meer zeggen dan we kunnen opschrijven. Maar probeer het eens!")</f>
        <v>We weten altijd meer dan we kunnen zeggen, en we zullen altijd meer zeggen dan we kunnen opschrijven. Maar probeer het eens!</v>
      </c>
      <c r="I221" s="3" t="str">
        <f ca="1">IFERROR(__xludf.DUMMYFUNCTION("GOOGLETRANSLATE(A221,""en"",""eu"")"),"Esan dezakeguna baino gehiago dakigu beti, eta idatzi dezakeguna baino gehiago esango dugu beti. Baina eman itzazu!")</f>
        <v>Esan dezakeguna baino gehiago dakigu beti, eta idatzi dezakeguna baino gehiago esango dugu beti. Baina eman itzazu!</v>
      </c>
      <c r="J221" s="3" t="str">
        <f ca="1">IFERROR(__xludf.DUMMYFUNCTION("GOOGLETRANSLATE(A221,""en"",""gl"")"),"Sempre sabemos máis do que podemos dicir, e sempre diremos máis do que podemos escribir. Pero dálle unha volta!")</f>
        <v>Sempre sabemos máis do que podemos dicir, e sempre diremos máis do que podemos escribir. Pero dálle unha volta!</v>
      </c>
      <c r="K221" s="3" t="str">
        <f ca="1">IFERROR(__xludf.DUMMYFUNCTION("GOOGLETRANSLATE(A221,""en"",""zh"")"),"我们知道的总是比我们能说的多，我们说的永远比我们能写下的多。但试一试吧！")</f>
        <v>我们知道的总是比我们能说的多，我们说的永远比我们能写下的多。但试一试吧！</v>
      </c>
    </row>
    <row r="222" spans="1:11" x14ac:dyDescent="0.2">
      <c r="A222" s="4" t="s">
        <v>231</v>
      </c>
      <c r="B222" s="3" t="str">
        <f t="shared" si="0"/>
        <v>We have more Knowledge Together. Can you share something?</v>
      </c>
      <c r="C222" s="3" t="str">
        <f ca="1">IFERROR(__xludf.DUMMYFUNCTION("GOOGLETRANSLATE(A222,""en"",""es"")"),"Tenemos más conocimiento juntos. ¿Puedes compartir algo?")</f>
        <v>Tenemos más conocimiento juntos. ¿Puedes compartir algo?</v>
      </c>
      <c r="D222" s="3" t="str">
        <f ca="1">IFERROR(__xludf.DUMMYFUNCTION("GOOGLETRANSLATE(A222,""en"",""ca"")"),"Tenim més coneixement junts. Pots compartir alguna cosa?")</f>
        <v>Tenim més coneixement junts. Pots compartir alguna cosa?</v>
      </c>
      <c r="E222" s="3" t="str">
        <f ca="1">IFERROR(__xludf.DUMMYFUNCTION("GOOGLETRANSLATE(A222,""en"",""fr"")"),"Nous avons plus de connaissances ensemble. Pouvez-vous partager quelque chose ?")</f>
        <v>Nous avons plus de connaissances ensemble. Pouvez-vous partager quelque chose ?</v>
      </c>
      <c r="F222" s="3" t="str">
        <f ca="1">IFERROR(__xludf.DUMMYFUNCTION("GOOGLETRANSLATE(A222,""en"",""de"")"),"Wir haben gemeinsam mehr Wissen. Kannst du etwas mitteilen?")</f>
        <v>Wir haben gemeinsam mehr Wissen. Kannst du etwas mitteilen?</v>
      </c>
      <c r="G222" s="3" t="str">
        <f ca="1">IFERROR(__xludf.DUMMYFUNCTION("GOOGLETRANSLATE(A222,""en"",""it"")"),"Abbiamo più Conoscenza Insieme. Puoi condividere qualcosa?")</f>
        <v>Abbiamo più Conoscenza Insieme. Puoi condividere qualcosa?</v>
      </c>
      <c r="H222" s="3" t="str">
        <f ca="1">IFERROR(__xludf.DUMMYFUNCTION("GOOGLETRANSLATE(A222,""en"",""nl"")"),"Samen hebben we meer kennis. Kun je iets delen?")</f>
        <v>Samen hebben we meer kennis. Kun je iets delen?</v>
      </c>
      <c r="I222" s="3" t="str">
        <f ca="1">IFERROR(__xludf.DUMMYFUNCTION("GOOGLETRANSLATE(A222,""en"",""eu"")"),"Ezagutza gehiago dugu Elkarrekin. Zerbait partekatu dezakezu?")</f>
        <v>Ezagutza gehiago dugu Elkarrekin. Zerbait partekatu dezakezu?</v>
      </c>
      <c r="J222" s="3" t="str">
        <f ca="1">IFERROR(__xludf.DUMMYFUNCTION("GOOGLETRANSLATE(A222,""en"",""gl"")"),"Temos máis Coñecemento Xuntos. Podes compartir algo?")</f>
        <v>Temos máis Coñecemento Xuntos. Podes compartir algo?</v>
      </c>
      <c r="K222" s="3" t="str">
        <f ca="1">IFERROR(__xludf.DUMMYFUNCTION("GOOGLETRANSLATE(A222,""en"",""zh"")"),"我们一起拥有更多知识。你能分享一些东西吗？")</f>
        <v>我们一起拥有更多知识。你能分享一些东西吗？</v>
      </c>
    </row>
    <row r="223" spans="1:11" x14ac:dyDescent="0.2">
      <c r="A223" s="3" t="s">
        <v>232</v>
      </c>
      <c r="B223" s="3" t="s">
        <v>233</v>
      </c>
      <c r="C223" s="3" t="str">
        <f ca="1">IFERROR(__xludf.DUMMYFUNCTION("GOOGLETRANSLATE(B223,""en"",""es"")"),"Restauración fallida")</f>
        <v>Restauración fallida</v>
      </c>
      <c r="D223" s="3" t="str">
        <f ca="1">IFERROR(__xludf.DUMMYFUNCTION("GOOGLETRANSLATE(B223,""en"",""ca"")"),"La restauració ha fallat")</f>
        <v>La restauració ha fallat</v>
      </c>
      <c r="E223" s="3" t="str">
        <f ca="1">IFERROR(__xludf.DUMMYFUNCTION("GOOGLETRANSLATE(B223,""en"",""fr"")"),"Échec de la restauration")</f>
        <v>Échec de la restauration</v>
      </c>
      <c r="F223" s="3" t="str">
        <f ca="1">IFERROR(__xludf.DUMMYFUNCTION("GOOGLETRANSLATE(B223,""en"",""de"")"),"Wiederherstellung fehlgeschlagen")</f>
        <v>Wiederherstellung fehlgeschlagen</v>
      </c>
      <c r="G223" s="3" t="str">
        <f ca="1">IFERROR(__xludf.DUMMYFUNCTION("GOOGLETRANSLATE(B223,""en"",""it"")"),"Ripristino non riuscito")</f>
        <v>Ripristino non riuscito</v>
      </c>
      <c r="H223" s="3" t="str">
        <f ca="1">IFERROR(__xludf.DUMMYFUNCTION("GOOGLETRANSLATE(B223,""en"",""nl"")"),"Herstellen mislukt")</f>
        <v>Herstellen mislukt</v>
      </c>
      <c r="I223" s="3" t="str">
        <f ca="1">IFERROR(__xludf.DUMMYFUNCTION("GOOGLETRANSLATE(B223,""en"",""eu"")"),"Berrezarri huts egin du")</f>
        <v>Berrezarri huts egin du</v>
      </c>
      <c r="J223" s="3" t="str">
        <f ca="1">IFERROR(__xludf.DUMMYFUNCTION("GOOGLETRANSLATE(B223,""en"",""gl"")"),"Fallou a restauración")</f>
        <v>Fallou a restauración</v>
      </c>
      <c r="K223" s="3" t="str">
        <f ca="1">IFERROR(__xludf.DUMMYFUNCTION("GOOGLETRANSLATE(B223,""en"",""zh"")"),"恢复失败")</f>
        <v>恢复失败</v>
      </c>
    </row>
    <row r="224" spans="1:11" x14ac:dyDescent="0.2">
      <c r="A224" s="3" t="s">
        <v>234</v>
      </c>
      <c r="B224" s="3" t="s">
        <v>235</v>
      </c>
      <c r="C224" s="3" t="str">
        <f ca="1">IFERROR(__xludf.DUMMYFUNCTION("GOOGLETRANSLATE(B224,""en"",""es"")"),"No se encontraron compras para restaurar")</f>
        <v>No se encontraron compras para restaurar</v>
      </c>
      <c r="D224" s="3" t="str">
        <f ca="1">IFERROR(__xludf.DUMMYFUNCTION("GOOGLETRANSLATE(B224,""en"",""ca"")"),"No s'han trobat compres per restaurar")</f>
        <v>No s'han trobat compres per restaurar</v>
      </c>
      <c r="E224" s="3" t="str">
        <f ca="1">IFERROR(__xludf.DUMMYFUNCTION("GOOGLETRANSLATE(B224,""en"",""fr"")"),"Aucun achat trouvé à restaurer")</f>
        <v>Aucun achat trouvé à restaurer</v>
      </c>
      <c r="F224" s="3" t="str">
        <f ca="1">IFERROR(__xludf.DUMMYFUNCTION("GOOGLETRANSLATE(B224,""en"",""de"")"),"Es wurden keine Käufe zur Wiederherstellung gefunden")</f>
        <v>Es wurden keine Käufe zur Wiederherstellung gefunden</v>
      </c>
      <c r="G224" s="3" t="str">
        <f ca="1">IFERROR(__xludf.DUMMYFUNCTION("GOOGLETRANSLATE(B224,""en"",""it"")"),"Nessun acquisto trovato da ripristinare")</f>
        <v>Nessun acquisto trovato da ripristinare</v>
      </c>
      <c r="H224" s="3" t="str">
        <f ca="1">IFERROR(__xludf.DUMMYFUNCTION("GOOGLETRANSLATE(B224,""en"",""nl"")"),"Geen aankopen gevonden om te herstellen")</f>
        <v>Geen aankopen gevonden om te herstellen</v>
      </c>
      <c r="I224" s="3" t="str">
        <f ca="1">IFERROR(__xludf.DUMMYFUNCTION("GOOGLETRANSLATE(B224,""en"",""eu"")"),"Ez da aurkitu leheneratzeko erosketarik")</f>
        <v>Ez da aurkitu leheneratzeko erosketarik</v>
      </c>
      <c r="J224" s="3" t="str">
        <f ca="1">IFERROR(__xludf.DUMMYFUNCTION("GOOGLETRANSLATE(B224,""en"",""gl"")"),"Non se atoparon compras para restaurar")</f>
        <v>Non se atoparon compras para restaurar</v>
      </c>
      <c r="K224" s="3" t="str">
        <f ca="1">IFERROR(__xludf.DUMMYFUNCTION("GOOGLETRANSLATE(B224,""en"",""zh"")"),"未找到可恢复的购买")</f>
        <v>未找到可恢复的购买</v>
      </c>
    </row>
    <row r="225" spans="1:11" x14ac:dyDescent="0.2">
      <c r="A225" s="3" t="s">
        <v>236</v>
      </c>
      <c r="B225" s="3" t="s">
        <v>237</v>
      </c>
      <c r="C225" s="3" t="str">
        <f ca="1">IFERROR(__xludf.DUMMYFUNCTION("GOOGLETRANSLATE(B225,""en"",""es"")"),"Recuperación exitosa")</f>
        <v>Recuperación exitosa</v>
      </c>
      <c r="D225" s="3" t="str">
        <f ca="1">IFERROR(__xludf.DUMMYFUNCTION("GOOGLETRANSLATE(B225,""en"",""ca"")"),"Recuperació reeixida")</f>
        <v>Recuperació reeixida</v>
      </c>
      <c r="E225" s="3" t="str">
        <f ca="1">IFERROR(__xludf.DUMMYFUNCTION("GOOGLETRANSLATE(B225,""en"",""fr"")"),"Récupération réussie")</f>
        <v>Récupération réussie</v>
      </c>
      <c r="F225" s="3" t="str">
        <f ca="1">IFERROR(__xludf.DUMMYFUNCTION("GOOGLETRANSLATE(B225,""en"",""de"")"),"Wiederherstellung erfolgreich")</f>
        <v>Wiederherstellung erfolgreich</v>
      </c>
      <c r="G225" s="3" t="str">
        <f ca="1">IFERROR(__xludf.DUMMYFUNCTION("GOOGLETRANSLATE(B225,""en"",""it"")"),"Recupero riuscito")</f>
        <v>Recupero riuscito</v>
      </c>
      <c r="H225" s="3" t="str">
        <f ca="1">IFERROR(__xludf.DUMMYFUNCTION("GOOGLETRANSLATE(B225,""en"",""nl"")"),"Herstel succesvol")</f>
        <v>Herstel succesvol</v>
      </c>
      <c r="I225" s="3" t="str">
        <f ca="1">IFERROR(__xludf.DUMMYFUNCTION("GOOGLETRANSLATE(B225,""en"",""eu"")"),"Berreskuratzea arrakastatsua da")</f>
        <v>Berreskuratzea arrakastatsua da</v>
      </c>
      <c r="J225" s="3" t="str">
        <f ca="1">IFERROR(__xludf.DUMMYFUNCTION("GOOGLETRANSLATE(B225,""en"",""gl"")"),"Recuperación exitosa")</f>
        <v>Recuperación exitosa</v>
      </c>
      <c r="K225" s="3" t="str">
        <f ca="1">IFERROR(__xludf.DUMMYFUNCTION("GOOGLETRANSLATE(B225,""en"",""zh"")"),"恢复成功")</f>
        <v>恢复成功</v>
      </c>
    </row>
    <row r="226" spans="1:11" x14ac:dyDescent="0.2">
      <c r="A226" s="3" t="s">
        <v>238</v>
      </c>
      <c r="B226" s="3" t="s">
        <v>239</v>
      </c>
      <c r="C226" s="3" t="str">
        <f ca="1">IFERROR(__xludf.DUMMYFUNCTION("GOOGLETRANSLATE(B226,""en"",""es"")"),"Tus compras han sido restauradas exitosamente""")</f>
        <v>Tus compras han sido restauradas exitosamente"</v>
      </c>
      <c r="D226" s="3" t="str">
        <f ca="1">IFERROR(__xludf.DUMMYFUNCTION("GOOGLETRANSLATE(B226,""en"",""ca"")"),"Les teves compres s'han restaurat correctament""")</f>
        <v>Les teves compres s'han restaurat correctament"</v>
      </c>
      <c r="E226" s="3" t="str">
        <f ca="1">IFERROR(__xludf.DUMMYFUNCTION("GOOGLETRANSLATE(B226,""en"",""fr"")"),"Vos achats ont été restaurés avec succès""")</f>
        <v>Vos achats ont été restaurés avec succès"</v>
      </c>
      <c r="F226" s="3" t="str">
        <f ca="1">IFERROR(__xludf.DUMMYFUNCTION("GOOGLETRANSLATE(B226,""en"",""de"")"),"Ihre Einkäufe wurden erfolgreich wiederhergestellt.")</f>
        <v>Ihre Einkäufe wurden erfolgreich wiederhergestellt.</v>
      </c>
      <c r="G226" s="3" t="str">
        <f ca="1">IFERROR(__xludf.DUMMYFUNCTION("GOOGLETRANSLATE(B226,""en"",""it"")"),"I tuoi acquisti sono stati ripristinati con successo""")</f>
        <v>I tuoi acquisti sono stati ripristinati con successo"</v>
      </c>
      <c r="H226" s="3" t="str">
        <f ca="1">IFERROR(__xludf.DUMMYFUNCTION("GOOGLETRANSLATE(B226,""en"",""nl"")"),"Uw aankopen zijn succesvol hersteld""")</f>
        <v>Uw aankopen zijn succesvol hersteld"</v>
      </c>
      <c r="I226" s="3" t="str">
        <f ca="1">IFERROR(__xludf.DUMMYFUNCTION("GOOGLETRANSLATE(B226,""en"",""eu"")"),"Zure erosketak behar bezala leheneratu dira""")</f>
        <v>Zure erosketak behar bezala leheneratu dira"</v>
      </c>
      <c r="J226" s="3" t="str">
        <f ca="1">IFERROR(__xludf.DUMMYFUNCTION("GOOGLETRANSLATE(B226,""en"",""gl"")"),"As túas compras restauráronse con éxito""")</f>
        <v>As túas compras restauráronse con éxito"</v>
      </c>
      <c r="K226" s="3" t="str">
        <f ca="1">IFERROR(__xludf.DUMMYFUNCTION("GOOGLETRANSLATE(B226,""en"",""zh"")"),"您的购买已成功恢复”")</f>
        <v>您的购买已成功恢复”</v>
      </c>
    </row>
    <row r="227" spans="1:11" x14ac:dyDescent="0.2">
      <c r="A227" s="3" t="s">
        <v>240</v>
      </c>
      <c r="B227" s="3" t="s">
        <v>241</v>
      </c>
      <c r="C227" s="3" t="str">
        <f ca="1">IFERROR(__xludf.DUMMYFUNCTION("GOOGLETRANSLATE(B227,""en"",""es"")"),"La suscripción ha sido cancelada o no renovada, ahora estás usando la versión limitada")</f>
        <v>La suscripción ha sido cancelada o no renovada, ahora estás usando la versión limitada</v>
      </c>
      <c r="D227" s="3" t="str">
        <f ca="1">IFERROR(__xludf.DUMMYFUNCTION("GOOGLETRANSLATE(B227,""en"",""ca"")"),"La subscripció s'ha cancel·lat o no s'ha renovat, ara esteu utilitzant la versió limitada")</f>
        <v>La subscripció s'ha cancel·lat o no s'ha renovat, ara esteu utilitzant la versió limitada</v>
      </c>
      <c r="E227" s="3" t="str">
        <f ca="1">IFERROR(__xludf.DUMMYFUNCTION("GOOGLETRANSLATE(B227,""en"",""fr"")"),"L'abonnement a été résilié ou non renouvelé, vous utilisez désormais la version limitée")</f>
        <v>L'abonnement a été résilié ou non renouvelé, vous utilisez désormais la version limitée</v>
      </c>
      <c r="F227" s="3" t="str">
        <f ca="1">IFERROR(__xludf.DUMMYFUNCTION("GOOGLETRANSLATE(B227,""en"",""de"")"),"Das Abonnement wurde gekündigt oder nicht verlängert. Sie verwenden jetzt die eingeschränkte Version")</f>
        <v>Das Abonnement wurde gekündigt oder nicht verlängert. Sie verwenden jetzt die eingeschränkte Version</v>
      </c>
      <c r="G227" s="3" t="str">
        <f ca="1">IFERROR(__xludf.DUMMYFUNCTION("GOOGLETRANSLATE(B227,""en"",""it"")"),"L'abbonamento è stato annullato o non rinnovato, ora stai utilizzando la versione limitata")</f>
        <v>L'abbonamento è stato annullato o non rinnovato, ora stai utilizzando la versione limitata</v>
      </c>
      <c r="H227" s="3" t="str">
        <f ca="1">IFERROR(__xludf.DUMMYFUNCTION("GOOGLETRANSLATE(B227,""en"",""nl"")"),"Het Abonnement is opgezegd of niet verlengd, u gebruikt nu de beperkte versie")</f>
        <v>Het Abonnement is opgezegd of niet verlengd, u gebruikt nu de beperkte versie</v>
      </c>
      <c r="I227" s="3" t="str">
        <f ca="1">IFERROR(__xludf.DUMMYFUNCTION("GOOGLETRANSLATE(B227,""en"",""eu"")"),"Harpidetza bertan behera utzi da edo ez berritu, orain bertsio mugatua erabiltzen ari zara")</f>
        <v>Harpidetza bertan behera utzi da edo ez berritu, orain bertsio mugatua erabiltzen ari zara</v>
      </c>
      <c r="J227" s="3" t="str">
        <f ca="1">IFERROR(__xludf.DUMMYFUNCTION("GOOGLETRANSLATE(B227,""en"",""gl"")"),"A subscrición cancelouse ou non se renovou, agora estás a usar a versión limitada")</f>
        <v>A subscrición cancelouse ou non se renovou, agora estás a usar a versión limitada</v>
      </c>
      <c r="K227" s="3" t="str">
        <f ca="1">IFERROR(__xludf.DUMMYFUNCTION("GOOGLETRANSLATE(B227,""en"",""zh"")"),"订阅已取消或未续订，您现在使用的是有限版本")</f>
        <v>订阅已取消或未续订，您现在使用的是有限版本</v>
      </c>
    </row>
    <row r="228" spans="1:11" x14ac:dyDescent="0.2">
      <c r="A228" s="3" t="s">
        <v>242</v>
      </c>
      <c r="B228" s="3" t="s">
        <v>243</v>
      </c>
      <c r="C228" s="3" t="str">
        <f ca="1">IFERROR(__xludf.DUMMYFUNCTION("GOOGLETRANSLATE(B228,""en"",""es"")"),"Suscripción caducada")</f>
        <v>Suscripción caducada</v>
      </c>
      <c r="D228" s="3" t="str">
        <f ca="1">IFERROR(__xludf.DUMMYFUNCTION("GOOGLETRANSLATE(B228,""en"",""ca"")"),"La subscripció ha caducat")</f>
        <v>La subscripció ha caducat</v>
      </c>
      <c r="E228" s="3" t="str">
        <f ca="1">IFERROR(__xludf.DUMMYFUNCTION("GOOGLETRANSLATE(B228,""en"",""fr"")"),"Abonnement expiré")</f>
        <v>Abonnement expiré</v>
      </c>
      <c r="F228" s="3" t="str">
        <f ca="1">IFERROR(__xludf.DUMMYFUNCTION("GOOGLETRANSLATE(B228,""en"",""de"")"),"Das Abonnement ist abgelaufen")</f>
        <v>Das Abonnement ist abgelaufen</v>
      </c>
      <c r="G228" s="3" t="str">
        <f ca="1">IFERROR(__xludf.DUMMYFUNCTION("GOOGLETRANSLATE(B228,""en"",""it"")"),"Abbonamento scaduto")</f>
        <v>Abbonamento scaduto</v>
      </c>
      <c r="H228" s="3" t="str">
        <f ca="1">IFERROR(__xludf.DUMMYFUNCTION("GOOGLETRANSLATE(B228,""en"",""nl"")"),"Abonnement verlopen")</f>
        <v>Abonnement verlopen</v>
      </c>
      <c r="I228" s="3" t="str">
        <f ca="1">IFERROR(__xludf.DUMMYFUNCTION("GOOGLETRANSLATE(B228,""en"",""eu"")"),"Harpidetza iraungi da")</f>
        <v>Harpidetza iraungi da</v>
      </c>
      <c r="J228" s="3" t="str">
        <f ca="1">IFERROR(__xludf.DUMMYFUNCTION("GOOGLETRANSLATE(B228,""en"",""gl"")"),"A subscrición caducou")</f>
        <v>A subscrición caducou</v>
      </c>
      <c r="K228" s="3" t="str">
        <f ca="1">IFERROR(__xludf.DUMMYFUNCTION("GOOGLETRANSLATE(B228,""en"",""zh"")"),"订阅已过期")</f>
        <v>订阅已过期</v>
      </c>
    </row>
    <row r="229" spans="1:11" x14ac:dyDescent="0.2">
      <c r="A229" s="3" t="s">
        <v>244</v>
      </c>
      <c r="B229" s="3" t="s">
        <v>245</v>
      </c>
      <c r="C229" s="3" t="str">
        <f ca="1">IFERROR(__xludf.DUMMYFUNCTION("GOOGLETRANSLATE(B229,""en"",""es"")"),"Compra fallida.")</f>
        <v>Compra fallida.</v>
      </c>
      <c r="D229" s="3" t="str">
        <f ca="1">IFERROR(__xludf.DUMMYFUNCTION("GOOGLETRANSLATE(B229,""en"",""ca"")"),"La compra ha fallat.")</f>
        <v>La compra ha fallat.</v>
      </c>
      <c r="E229" s="3" t="str">
        <f ca="1">IFERROR(__xludf.DUMMYFUNCTION("GOOGLETRANSLATE(B229,""en"",""fr"")"),"L'achat a échoué.")</f>
        <v>L'achat a échoué.</v>
      </c>
      <c r="F229" s="3" t="str">
        <f ca="1">IFERROR(__xludf.DUMMYFUNCTION("GOOGLETRANSLATE(B229,""en"",""de"")"),"Der Kauf ist fehlgeschlagen.")</f>
        <v>Der Kauf ist fehlgeschlagen.</v>
      </c>
      <c r="G229" s="3" t="str">
        <f ca="1">IFERROR(__xludf.DUMMYFUNCTION("GOOGLETRANSLATE(B229,""en"",""it"")"),"Acquisto fallito.")</f>
        <v>Acquisto fallito.</v>
      </c>
      <c r="H229" s="3" t="str">
        <f ca="1">IFERROR(__xludf.DUMMYFUNCTION("GOOGLETRANSLATE(B229,""en"",""nl"")"),"Aankoop mislukt.")</f>
        <v>Aankoop mislukt.</v>
      </c>
      <c r="I229" s="3" t="str">
        <f ca="1">IFERROR(__xludf.DUMMYFUNCTION("GOOGLETRANSLATE(B229,""en"",""eu"")"),"Erosketak huts egin du.")</f>
        <v>Erosketak huts egin du.</v>
      </c>
      <c r="J229" s="3" t="str">
        <f ca="1">IFERROR(__xludf.DUMMYFUNCTION("GOOGLETRANSLATE(B229,""en"",""gl"")"),"Produciuse un erro na compra.")</f>
        <v>Produciuse un erro na compra.</v>
      </c>
      <c r="K229" s="3" t="str">
        <f ca="1">IFERROR(__xludf.DUMMYFUNCTION("GOOGLETRANSLATE(B229,""en"",""zh"")"),"购买失败。")</f>
        <v>购买失败。</v>
      </c>
    </row>
    <row r="230" spans="1:11" x14ac:dyDescent="0.2">
      <c r="A230" s="3" t="s">
        <v>246</v>
      </c>
      <c r="B230" s="3" t="s">
        <v>247</v>
      </c>
      <c r="C230" s="3" t="str">
        <f ca="1">IFERROR(__xludf.DUMMYFUNCTION("GOOGLETRANSLATE(B230,""en"",""es"")"),"La compra fue cancelada")</f>
        <v>La compra fue cancelada</v>
      </c>
      <c r="D230" s="3" t="str">
        <f ca="1">IFERROR(__xludf.DUMMYFUNCTION("GOOGLETRANSLATE(B230,""en"",""ca"")"),"S'ha cancel·lat la compra")</f>
        <v>S'ha cancel·lat la compra</v>
      </c>
      <c r="E230" s="3" t="str">
        <f ca="1">IFERROR(__xludf.DUMMYFUNCTION("GOOGLETRANSLATE(B230,""en"",""fr"")"),"L'achat a été annulé")</f>
        <v>L'achat a été annulé</v>
      </c>
      <c r="F230" s="3" t="str">
        <f ca="1">IFERROR(__xludf.DUMMYFUNCTION("GOOGLETRANSLATE(B230,""en"",""de"")"),"Der Kauf wurde storniert")</f>
        <v>Der Kauf wurde storniert</v>
      </c>
      <c r="G230" s="3" t="str">
        <f ca="1">IFERROR(__xludf.DUMMYFUNCTION("GOOGLETRANSLATE(B230,""en"",""it"")"),"L'acquisto è stato annullato")</f>
        <v>L'acquisto è stato annullato</v>
      </c>
      <c r="H230" s="3" t="str">
        <f ca="1">IFERROR(__xludf.DUMMYFUNCTION("GOOGLETRANSLATE(B230,""en"",""nl"")"),"Aankoop is geannuleerd")</f>
        <v>Aankoop is geannuleerd</v>
      </c>
      <c r="I230" s="3" t="str">
        <f ca="1">IFERROR(__xludf.DUMMYFUNCTION("GOOGLETRANSLATE(B230,""en"",""eu"")"),"Erosketa bertan behera utzi da")</f>
        <v>Erosketa bertan behera utzi da</v>
      </c>
      <c r="J230" s="3" t="str">
        <f ca="1">IFERROR(__xludf.DUMMYFUNCTION("GOOGLETRANSLATE(B230,""en"",""gl"")"),"Cancelouse a compra")</f>
        <v>Cancelouse a compra</v>
      </c>
      <c r="K230" s="3" t="str">
        <f ca="1">IFERROR(__xludf.DUMMYFUNCTION("GOOGLETRANSLATE(B230,""en"",""zh"")"),"购买已取消")</f>
        <v>购买已取消</v>
      </c>
    </row>
    <row r="231" spans="1:11" x14ac:dyDescent="0.2">
      <c r="A231" s="3" t="s">
        <v>248</v>
      </c>
      <c r="B231" s="3" t="s">
        <v>249</v>
      </c>
      <c r="C231" s="3" t="str">
        <f ca="1">IFERROR(__xludf.DUMMYFUNCTION("GOOGLETRANSLATE(B231,""en"",""es"")"),"Ahora estás listo para ir")</f>
        <v>Ahora estás listo para ir</v>
      </c>
      <c r="D231" s="3" t="str">
        <f ca="1">IFERROR(__xludf.DUMMYFUNCTION("GOOGLETRANSLATE(B231,""en"",""ca"")"),"Ara estàs preparat per marxar")</f>
        <v>Ara estàs preparat per marxar</v>
      </c>
      <c r="E231" s="3" t="str">
        <f ca="1">IFERROR(__xludf.DUMMYFUNCTION("GOOGLETRANSLATE(B231,""en"",""fr"")"),"Vous êtes maintenant prêt à partir")</f>
        <v>Vous êtes maintenant prêt à partir</v>
      </c>
      <c r="F231" s="3" t="str">
        <f ca="1">IFERROR(__xludf.DUMMYFUNCTION("GOOGLETRANSLATE(B231,""en"",""de"")"),"Jetzt können Sie loslegen")</f>
        <v>Jetzt können Sie loslegen</v>
      </c>
      <c r="G231" s="3" t="str">
        <f ca="1">IFERROR(__xludf.DUMMYFUNCTION("GOOGLETRANSLATE(B231,""en"",""it"")"),"Ora sei pronto per partire")</f>
        <v>Ora sei pronto per partire</v>
      </c>
      <c r="H231" s="3" t="str">
        <f ca="1">IFERROR(__xludf.DUMMYFUNCTION("GOOGLETRANSLATE(B231,""en"",""nl"")"),"U bent nu klaar om te gaan")</f>
        <v>U bent nu klaar om te gaan</v>
      </c>
      <c r="I231" s="3" t="str">
        <f ca="1">IFERROR(__xludf.DUMMYFUNCTION("GOOGLETRANSLATE(B231,""en"",""eu"")"),"Orain joateko prest zaude")</f>
        <v>Orain joateko prest zaude</v>
      </c>
      <c r="J231" s="3" t="str">
        <f ca="1">IFERROR(__xludf.DUMMYFUNCTION("GOOGLETRANSLATE(B231,""en"",""gl"")"),"Agora estás listo para ir")</f>
        <v>Agora estás listo para ir</v>
      </c>
      <c r="K231" s="3" t="str">
        <f ca="1">IFERROR(__xludf.DUMMYFUNCTION("GOOGLETRANSLATE(B231,""en"",""zh"")"),"您现在可以出发了")</f>
        <v>您现在可以出发了</v>
      </c>
    </row>
    <row r="232" spans="1:11" x14ac:dyDescent="0.2">
      <c r="A232" s="3" t="s">
        <v>250</v>
      </c>
      <c r="B232" s="3" t="s">
        <v>251</v>
      </c>
      <c r="C232" s="3" t="str">
        <f ca="1">IFERROR(__xludf.DUMMYFUNCTION("GOOGLETRANSLATE(B232,""en"",""es"")"),"Tu compra fue exitosa.")</f>
        <v>Tu compra fue exitosa.</v>
      </c>
      <c r="D232" s="3" t="str">
        <f ca="1">IFERROR(__xludf.DUMMYFUNCTION("GOOGLETRANSLATE(B232,""en"",""ca"")"),"La teva compra ha estat correcta.")</f>
        <v>La teva compra ha estat correcta.</v>
      </c>
      <c r="E232" s="3" t="str">
        <f ca="1">IFERROR(__xludf.DUMMYFUNCTION("GOOGLETRANSLATE(B232,""en"",""fr"")"),"Votre achat a été réussi.")</f>
        <v>Votre achat a été réussi.</v>
      </c>
      <c r="F232" s="3" t="str">
        <f ca="1">IFERROR(__xludf.DUMMYFUNCTION("GOOGLETRANSLATE(B232,""en"",""de"")"),"Ihr Kauf war erfolgreich.")</f>
        <v>Ihr Kauf war erfolgreich.</v>
      </c>
      <c r="G232" s="3" t="str">
        <f ca="1">IFERROR(__xludf.DUMMYFUNCTION("GOOGLETRANSLATE(B232,""en"",""it"")"),"Il tuo acquisto è andato a buon fine.")</f>
        <v>Il tuo acquisto è andato a buon fine.</v>
      </c>
      <c r="H232" s="3" t="str">
        <f ca="1">IFERROR(__xludf.DUMMYFUNCTION("GOOGLETRANSLATE(B232,""en"",""nl"")"),"Uw aankoop is gelukt.")</f>
        <v>Uw aankoop is gelukt.</v>
      </c>
      <c r="I232" s="3" t="str">
        <f ca="1">IFERROR(__xludf.DUMMYFUNCTION("GOOGLETRANSLATE(B232,""en"",""eu"")"),"Erosketa arrakastatsua izan da.")</f>
        <v>Erosketa arrakastatsua izan da.</v>
      </c>
      <c r="J232" s="3" t="str">
        <f ca="1">IFERROR(__xludf.DUMMYFUNCTION("GOOGLETRANSLATE(B232,""en"",""gl"")"),"A túa compra foi exitosa.")</f>
        <v>A túa compra foi exitosa.</v>
      </c>
      <c r="K232" s="3" t="str">
        <f ca="1">IFERROR(__xludf.DUMMYFUNCTION("GOOGLETRANSLATE(B232,""en"",""zh"")"),"您购买成功。")</f>
        <v>您购买成功。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Tony Steward</dc:creator>
  <cp:lastModifiedBy>Tony Steward</cp:lastModifiedBy>
  <dcterms:created xsi:type="dcterms:W3CDTF">2024-11-27T10:48:51Z</dcterms:created>
  <dcterms:modified xsi:type="dcterms:W3CDTF">2024-11-27T10:54:26Z</dcterms:modified>
</cp:coreProperties>
</file>